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ortn-my.sharepoint.com/personal/sssmith_ortn_edu/Documents/Desktop/Web Site/HR/Salary Schedules/"/>
    </mc:Choice>
  </mc:AlternateContent>
  <bookViews>
    <workbookView xWindow="3975" yWindow="10695" windowWidth="19425" windowHeight="10305"/>
  </bookViews>
  <sheets>
    <sheet name="District Support Staff D-1 " sheetId="1" r:id="rId1"/>
    <sheet name="District Support Staff D-2 " sheetId="2" r:id="rId2"/>
  </sheets>
  <definedNames>
    <definedName name="_xlnm.Print_Area" localSheetId="0">'District Support Staff D-1 '!$A$3:$D$38</definedName>
    <definedName name="_xlnm.Print_Area" localSheetId="1">'District Support Staff D-2 '!$A$2:$AB$21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8" i="2" l="1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</calcChain>
</file>

<file path=xl/sharedStrings.xml><?xml version="1.0" encoding="utf-8"?>
<sst xmlns="http://schemas.openxmlformats.org/spreadsheetml/2006/main" count="144" uniqueCount="72">
  <si>
    <t>POSITION/ASSIGNMENT</t>
  </si>
  <si>
    <t>LANE</t>
  </si>
  <si>
    <t>DAYS</t>
  </si>
  <si>
    <t>HOURS PER DAY</t>
  </si>
  <si>
    <t>DISTRICT SUPPORT STAFF                                                                                                                                    FY24</t>
  </si>
  <si>
    <t xml:space="preserve"> </t>
  </si>
  <si>
    <t>STEP 0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</si>
  <si>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</si>
  <si>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</si>
  <si>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</si>
  <si>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</si>
  <si>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</si>
  <si>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</si>
  <si>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</si>
  <si>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</si>
  <si>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</si>
  <si>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</si>
  <si>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STEP 11</t>
  </si>
  <si>
    <t>STEP 12</t>
  </si>
  <si>
    <t>STEP 13</t>
  </si>
  <si>
    <t>STEP 14</t>
  </si>
  <si>
    <t>STEP 15</t>
  </si>
  <si>
    <t>STEP 16</t>
  </si>
  <si>
    <t>STEP 17</t>
  </si>
  <si>
    <t>STEP 18</t>
  </si>
  <si>
    <t>STEP 19</t>
  </si>
  <si>
    <t>STEP 20</t>
  </si>
  <si>
    <t>ECC Site Director</t>
  </si>
  <si>
    <t>FRC Assistant</t>
  </si>
  <si>
    <t>Maintenance Generalist I</t>
  </si>
  <si>
    <t>ECC Director</t>
  </si>
  <si>
    <t>Admin Asst I,  Asst. Bookkeeper (High)</t>
  </si>
  <si>
    <t>Maintenance Generalist II, Admin Asst II</t>
  </si>
  <si>
    <t>Preschool Bookkeeper/Clerk</t>
  </si>
  <si>
    <t>Family Services Advocate</t>
  </si>
  <si>
    <t>Receiving/Inventory Clerk, Elementary Bookkeeper</t>
  </si>
  <si>
    <t>Inventory Technician, Secondary Bookkeeper, Admin Asst III</t>
  </si>
  <si>
    <t>Admin Asst IV</t>
  </si>
  <si>
    <t>Business Services Specialist, HR Specialist</t>
  </si>
  <si>
    <t>Manager of Tech Ops</t>
  </si>
  <si>
    <t>Tier 1 Technician</t>
  </si>
  <si>
    <t>Family Impact Coordinator</t>
  </si>
  <si>
    <t>Sports Medicine Coordinator</t>
  </si>
  <si>
    <t>Maintenance Generalist III, Admin Asst V (Exec), School Nutrition Specialist</t>
  </si>
  <si>
    <t>Shift Foreman</t>
  </si>
  <si>
    <t>Admin Asst VI (Sr. Exec), HR Specialist</t>
  </si>
  <si>
    <t>Family Services Coordinator</t>
  </si>
  <si>
    <t>Social Worker</t>
  </si>
  <si>
    <t>Benefits Coordinator, Tier 2 Tech, Repair Tech</t>
  </si>
  <si>
    <t>Salary schedule includes Finance, Human Resources, Office Support, Technology, FRC Assistants, Nurses, Maintenance &amp; Other Support Staff</t>
  </si>
  <si>
    <t>AP Specialist, Purchasing Specialist, Data Analysis &amp; Reporting Specialist, Carpenter, Low Voltage Tech, Plumber, Electrician I</t>
  </si>
  <si>
    <t>HVAC Tech I</t>
  </si>
  <si>
    <t>HVAC Tech II, Electrician II,  HR Coordinator, Payroll Specialist, Grant Accountant</t>
  </si>
  <si>
    <t>Maintenance Tech Foreman, Building and Grounds Foreman</t>
  </si>
  <si>
    <t>Nurse</t>
  </si>
  <si>
    <t>COTA, PTA</t>
  </si>
  <si>
    <t>DISTRICT SUPPORT STAFF SALARY                                                                                                                          FY24</t>
  </si>
  <si>
    <t>Asst Supervisor-Operations, Data Technician</t>
  </si>
  <si>
    <t>District Accountant</t>
  </si>
  <si>
    <t>Occupational Therapist</t>
  </si>
  <si>
    <t>Director of MM &amp; O, Application Manager, Network Systems Administrator</t>
  </si>
  <si>
    <t>Family Education Coordinator</t>
  </si>
  <si>
    <t>Family &amp; Student Services Facilitator</t>
  </si>
  <si>
    <t>FRC Director</t>
  </si>
  <si>
    <t>Nurse Coordinator, Maintenance Director</t>
  </si>
  <si>
    <t>Business Services Coord, Systems Engineer, Network Engineer, IT Supervisor</t>
  </si>
  <si>
    <t>Communications Specialist</t>
  </si>
  <si>
    <t>SpEd Coordinator</t>
  </si>
  <si>
    <t>IT Director, Finance Director, Pupil Services Director</t>
  </si>
  <si>
    <t>Ex Director of HR, Executive Director of Teaching &amp; Learning</t>
  </si>
  <si>
    <t>Salary schedule includes Directors, Executive Directors, Supervisors, Finance, Human Resources, &amp; Technology</t>
  </si>
  <si>
    <t>Executive Director of School Leadership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</si>
</sst>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_(* #,##0.0_);_(* \(#,##0.0\);_(* &quot;-&quot;?_);_(@_)"/>
    <numFmt numFmtId="165" formatCode="&quot;$&quot;###,###,##0.00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b/>
      <i/>
      <sz val="2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sz val="10"/>
      <color theme="3" tint="0.59999389629810485"/>
      <name val="Arial"/>
      <family val="2"/>
    </font>
    <font>
      <b/>
      <sz val="10"/>
      <color theme="3" tint="0.59999389629810485"/>
      <name val="Arial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4" tint="0.59999389629810485"/>
        <bgColor theme="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6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7" fontId="3" fillId="2" borderId="0"/>
    <xf numFmtId="0" fontId="3" fillId="0" borderId="0"/>
  </cellStyleXfs>
  <cellXfs count="94">
    <xf numFmtId="0" fontId="0" fillId="0" borderId="0" xfId="0"/>
    <xf numFmtId="0" fontId="4" fillId="2" borderId="0" xfId="2" applyFont="1" applyFill="1" applyAlignment="1">
      <alignment horizontal="left"/>
    </xf>
    <xf numFmtId="0" fontId="4" fillId="2" borderId="0" xfId="2" applyFont="1" applyFill="1" applyAlignment="1">
      <alignment horizontal="center"/>
    </xf>
    <xf numFmtId="164" fontId="4" fillId="2" borderId="0" xfId="2" applyNumberFormat="1" applyFont="1" applyFill="1" applyAlignment="1">
      <alignment horizontal="center"/>
    </xf>
    <xf numFmtId="164" fontId="4" fillId="0" borderId="0" xfId="2" applyNumberFormat="1" applyFont="1"/>
    <xf numFmtId="0" fontId="4" fillId="2" borderId="0" xfId="2" applyFont="1" applyFill="1"/>
    <xf numFmtId="0" fontId="5" fillId="3" borderId="1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center" vertical="center" wrapText="1"/>
    </xf>
    <xf numFmtId="164" fontId="5" fillId="3" borderId="3" xfId="2" applyNumberFormat="1" applyFont="1" applyFill="1" applyBorder="1" applyAlignment="1">
      <alignment horizontal="center" vertical="center" wrapText="1"/>
    </xf>
    <xf numFmtId="164" fontId="1" fillId="0" borderId="0" xfId="2" applyNumberFormat="1" applyFont="1" applyAlignment="1">
      <alignment horizontal="center" vertical="center" wrapText="1"/>
    </xf>
    <xf numFmtId="0" fontId="3" fillId="2" borderId="0" xfId="2" applyFill="1"/>
    <xf numFmtId="0" fontId="3" fillId="0" borderId="7" xfId="2" applyBorder="1" applyAlignment="1">
      <alignment horizontal="left" vertical="center" wrapText="1"/>
    </xf>
    <xf numFmtId="1" fontId="7" fillId="0" borderId="8" xfId="2" applyNumberFormat="1" applyFont="1" applyBorder="1" applyAlignment="1">
      <alignment horizontal="center" vertical="center" wrapText="1"/>
    </xf>
    <xf numFmtId="164" fontId="7" fillId="0" borderId="9" xfId="2" applyNumberFormat="1" applyFont="1" applyBorder="1" applyAlignment="1">
      <alignment horizontal="center" vertical="center" wrapText="1"/>
    </xf>
    <xf numFmtId="164" fontId="2" fillId="0" borderId="0" xfId="2" applyNumberFormat="1" applyFont="1" applyAlignment="1">
      <alignment horizontal="center" vertical="center" wrapText="1"/>
    </xf>
    <xf numFmtId="0" fontId="3" fillId="2" borderId="0" xfId="2" applyFill="1" applyAlignment="1">
      <alignment horizontal="center"/>
    </xf>
    <xf numFmtId="165" fontId="3" fillId="0" borderId="0" xfId="2" applyNumberFormat="1"/>
    <xf numFmtId="0" fontId="8" fillId="0" borderId="0" xfId="2" applyFon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2" borderId="0" xfId="2" applyFill="1" applyAlignment="1">
      <alignment horizontal="center" vertical="center"/>
    </xf>
    <xf numFmtId="0" fontId="3" fillId="5" borderId="10" xfId="2" applyFill="1" applyBorder="1" applyAlignment="1">
      <alignment horizontal="left" vertical="center" wrapText="1"/>
    </xf>
    <xf numFmtId="1" fontId="7" fillId="5" borderId="11" xfId="2" applyNumberFormat="1" applyFont="1" applyFill="1" applyBorder="1" applyAlignment="1">
      <alignment horizontal="center" vertical="center" wrapText="1"/>
    </xf>
    <xf numFmtId="164" fontId="7" fillId="5" borderId="12" xfId="2" applyNumberFormat="1" applyFont="1" applyFill="1" applyBorder="1" applyAlignment="1">
      <alignment horizontal="center" vertical="center" wrapText="1"/>
    </xf>
    <xf numFmtId="0" fontId="8" fillId="6" borderId="13" xfId="2" applyFont="1" applyFill="1" applyBorder="1" applyAlignment="1">
      <alignment horizontal="center" vertical="center"/>
    </xf>
    <xf numFmtId="0" fontId="3" fillId="6" borderId="14" xfId="2" applyFill="1" applyBorder="1" applyAlignment="1">
      <alignment horizontal="center" vertical="center"/>
    </xf>
    <xf numFmtId="0" fontId="3" fillId="6" borderId="2" xfId="2" applyFill="1" applyBorder="1" applyAlignment="1">
      <alignment horizontal="center" vertical="center"/>
    </xf>
    <xf numFmtId="0" fontId="3" fillId="6" borderId="3" xfId="2" applyFill="1" applyBorder="1" applyAlignment="1">
      <alignment horizontal="center" vertical="center"/>
    </xf>
    <xf numFmtId="0" fontId="3" fillId="0" borderId="0" xfId="2"/>
    <xf numFmtId="0" fontId="3" fillId="0" borderId="10" xfId="2" applyBorder="1" applyAlignment="1">
      <alignment horizontal="left" vertical="center" wrapText="1"/>
    </xf>
    <xf numFmtId="1" fontId="7" fillId="0" borderId="11" xfId="2" applyNumberFormat="1" applyFont="1" applyBorder="1" applyAlignment="1">
      <alignment horizontal="center" vertical="center" wrapText="1"/>
    </xf>
    <xf numFmtId="164" fontId="7" fillId="0" borderId="12" xfId="2" applyNumberFormat="1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/>
    </xf>
    <xf numFmtId="7" fontId="3" fillId="2" borderId="16" xfId="1" applyBorder="1"/>
    <xf numFmtId="7" fontId="3" fillId="2" borderId="17" xfId="1" applyBorder="1"/>
    <xf numFmtId="7" fontId="3" fillId="2" borderId="18" xfId="1" applyBorder="1"/>
    <xf numFmtId="0" fontId="8" fillId="0" borderId="19" xfId="2" applyFont="1" applyBorder="1" applyAlignment="1">
      <alignment horizontal="center"/>
    </xf>
    <xf numFmtId="7" fontId="3" fillId="2" borderId="20" xfId="1" applyBorder="1"/>
    <xf numFmtId="7" fontId="3" fillId="2" borderId="11" xfId="1" applyBorder="1"/>
    <xf numFmtId="7" fontId="3" fillId="2" borderId="12" xfId="1" applyBorder="1"/>
    <xf numFmtId="0" fontId="9" fillId="7" borderId="10" xfId="2" applyFont="1" applyFill="1" applyBorder="1" applyAlignment="1">
      <alignment horizontal="left" vertical="center" wrapText="1"/>
    </xf>
    <xf numFmtId="1" fontId="10" fillId="7" borderId="11" xfId="2" applyNumberFormat="1" applyFont="1" applyFill="1" applyBorder="1" applyAlignment="1">
      <alignment horizontal="center" vertical="center" wrapText="1"/>
    </xf>
    <xf numFmtId="164" fontId="10" fillId="7" borderId="12" xfId="2" applyNumberFormat="1" applyFont="1" applyFill="1" applyBorder="1" applyAlignment="1">
      <alignment horizontal="center" vertical="center" wrapText="1"/>
    </xf>
    <xf numFmtId="0" fontId="8" fillId="0" borderId="21" xfId="2" applyFont="1" applyBorder="1" applyAlignment="1">
      <alignment horizontal="center"/>
    </xf>
    <xf numFmtId="7" fontId="3" fillId="2" borderId="22" xfId="1" applyBorder="1"/>
    <xf numFmtId="7" fontId="3" fillId="2" borderId="23" xfId="1" applyBorder="1"/>
    <xf numFmtId="7" fontId="3" fillId="2" borderId="24" xfId="1" applyBorder="1"/>
    <xf numFmtId="7" fontId="3" fillId="2" borderId="10" xfId="1" applyBorder="1"/>
    <xf numFmtId="0" fontId="8" fillId="0" borderId="25" xfId="2" applyFont="1" applyBorder="1" applyAlignment="1">
      <alignment horizontal="center"/>
    </xf>
    <xf numFmtId="7" fontId="3" fillId="2" borderId="26" xfId="1" applyBorder="1"/>
    <xf numFmtId="7" fontId="3" fillId="2" borderId="27" xfId="1" applyBorder="1"/>
    <xf numFmtId="7" fontId="3" fillId="2" borderId="28" xfId="1" applyBorder="1"/>
    <xf numFmtId="0" fontId="11" fillId="2" borderId="0" xfId="2" applyFont="1" applyFill="1" applyAlignment="1">
      <alignment vertical="center"/>
    </xf>
    <xf numFmtId="0" fontId="3" fillId="5" borderId="11" xfId="2" applyFill="1" applyBorder="1" applyAlignment="1">
      <alignment horizontal="left" vertical="center" wrapText="1"/>
    </xf>
    <xf numFmtId="164" fontId="7" fillId="5" borderId="11" xfId="2" applyNumberFormat="1" applyFont="1" applyFill="1" applyBorder="1" applyAlignment="1">
      <alignment horizontal="center" vertical="center" wrapText="1"/>
    </xf>
    <xf numFmtId="0" fontId="3" fillId="0" borderId="11" xfId="2" applyBorder="1" applyAlignment="1">
      <alignment vertical="center" wrapText="1"/>
    </xf>
    <xf numFmtId="164" fontId="7" fillId="0" borderId="11" xfId="2" applyNumberFormat="1" applyFont="1" applyBorder="1" applyAlignment="1">
      <alignment horizontal="center" vertical="center" wrapText="1"/>
    </xf>
    <xf numFmtId="164" fontId="3" fillId="0" borderId="0" xfId="2" applyNumberFormat="1"/>
    <xf numFmtId="0" fontId="3" fillId="4" borderId="11" xfId="2" applyFill="1" applyBorder="1" applyAlignment="1">
      <alignment vertical="center" wrapText="1"/>
    </xf>
    <xf numFmtId="1" fontId="7" fillId="4" borderId="11" xfId="2" applyNumberFormat="1" applyFont="1" applyFill="1" applyBorder="1" applyAlignment="1">
      <alignment horizontal="center" vertical="center" wrapText="1"/>
    </xf>
    <xf numFmtId="164" fontId="7" fillId="4" borderId="11" xfId="2" applyNumberFormat="1" applyFont="1" applyFill="1" applyBorder="1" applyAlignment="1">
      <alignment horizontal="center" vertical="center" wrapText="1"/>
    </xf>
    <xf numFmtId="0" fontId="3" fillId="2" borderId="0" xfId="2" applyFill="1" applyAlignment="1">
      <alignment horizontal="left"/>
    </xf>
    <xf numFmtId="164" fontId="3" fillId="2" borderId="0" xfId="2" applyNumberFormat="1" applyFill="1" applyAlignment="1">
      <alignment horizontal="center"/>
    </xf>
    <xf numFmtId="164" fontId="3" fillId="2" borderId="0" xfId="2" applyNumberFormat="1" applyFill="1"/>
    <xf numFmtId="0" fontId="5" fillId="3" borderId="1" xfId="2" applyFont="1" applyFill="1" applyBorder="1" applyAlignment="1">
      <alignment horizontal="center" vertical="center" wrapText="1"/>
    </xf>
    <xf numFmtId="0" fontId="3" fillId="0" borderId="29" xfId="2" applyBorder="1" applyAlignment="1">
      <alignment vertical="center" wrapText="1"/>
    </xf>
    <xf numFmtId="1" fontId="2" fillId="0" borderId="17" xfId="2" applyNumberFormat="1" applyFont="1" applyBorder="1" applyAlignment="1">
      <alignment horizontal="center" vertical="center" wrapText="1"/>
    </xf>
    <xf numFmtId="164" fontId="2" fillId="0" borderId="18" xfId="2" applyNumberFormat="1" applyFont="1" applyBorder="1" applyAlignment="1">
      <alignment horizontal="center" vertical="center" wrapText="1"/>
    </xf>
    <xf numFmtId="0" fontId="3" fillId="5" borderId="10" xfId="2" applyFill="1" applyBorder="1" applyAlignment="1">
      <alignment vertical="center" wrapText="1"/>
    </xf>
    <xf numFmtId="1" fontId="2" fillId="5" borderId="11" xfId="2" applyNumberFormat="1" applyFont="1" applyFill="1" applyBorder="1" applyAlignment="1">
      <alignment horizontal="center" vertical="center" wrapText="1"/>
    </xf>
    <xf numFmtId="164" fontId="2" fillId="5" borderId="12" xfId="2" applyNumberFormat="1" applyFont="1" applyFill="1" applyBorder="1" applyAlignment="1">
      <alignment horizontal="center" vertical="center" wrapText="1"/>
    </xf>
    <xf numFmtId="0" fontId="8" fillId="6" borderId="6" xfId="2" applyFont="1" applyFill="1" applyBorder="1" applyAlignment="1">
      <alignment horizontal="center" vertical="center"/>
    </xf>
    <xf numFmtId="0" fontId="3" fillId="6" borderId="6" xfId="2" applyFill="1" applyBorder="1" applyAlignment="1">
      <alignment horizontal="center" vertical="center"/>
    </xf>
    <xf numFmtId="0" fontId="3" fillId="6" borderId="13" xfId="2" applyFill="1" applyBorder="1" applyAlignment="1">
      <alignment horizontal="center" vertical="center"/>
    </xf>
    <xf numFmtId="0" fontId="3" fillId="0" borderId="10" xfId="2" applyBorder="1" applyAlignment="1">
      <alignment vertical="center" wrapText="1"/>
    </xf>
    <xf numFmtId="1" fontId="2" fillId="0" borderId="11" xfId="2" applyNumberFormat="1" applyFont="1" applyBorder="1" applyAlignment="1">
      <alignment horizontal="center" vertical="center" wrapText="1"/>
    </xf>
    <xf numFmtId="164" fontId="2" fillId="0" borderId="12" xfId="2" applyNumberFormat="1" applyFont="1" applyBorder="1" applyAlignment="1">
      <alignment horizontal="center" vertical="center" wrapText="1"/>
    </xf>
    <xf numFmtId="0" fontId="8" fillId="0" borderId="30" xfId="2" applyFont="1" applyBorder="1" applyAlignment="1">
      <alignment horizontal="center"/>
    </xf>
    <xf numFmtId="0" fontId="8" fillId="0" borderId="31" xfId="2" applyFont="1" applyBorder="1" applyAlignment="1">
      <alignment horizontal="center"/>
    </xf>
    <xf numFmtId="7" fontId="3" fillId="2" borderId="32" xfId="1" applyBorder="1"/>
    <xf numFmtId="7" fontId="3" fillId="2" borderId="8" xfId="1" applyBorder="1"/>
    <xf numFmtId="7" fontId="3" fillId="2" borderId="9" xfId="1" applyBorder="1"/>
    <xf numFmtId="0" fontId="3" fillId="4" borderId="10" xfId="2" applyFill="1" applyBorder="1" applyAlignment="1">
      <alignment vertical="center" wrapText="1"/>
    </xf>
    <xf numFmtId="1" fontId="2" fillId="4" borderId="11" xfId="2" applyNumberFormat="1" applyFont="1" applyFill="1" applyBorder="1" applyAlignment="1">
      <alignment horizontal="center" vertical="center" wrapText="1"/>
    </xf>
    <xf numFmtId="164" fontId="2" fillId="4" borderId="12" xfId="2" applyNumberFormat="1" applyFont="1" applyFill="1" applyBorder="1" applyAlignment="1">
      <alignment horizontal="center" vertical="center" wrapText="1"/>
    </xf>
    <xf numFmtId="0" fontId="8" fillId="0" borderId="33" xfId="2" applyFont="1" applyBorder="1" applyAlignment="1">
      <alignment horizontal="center"/>
    </xf>
    <xf numFmtId="7" fontId="3" fillId="2" borderId="34" xfId="1" applyBorder="1"/>
    <xf numFmtId="7" fontId="3" fillId="2" borderId="35" xfId="1" applyBorder="1"/>
    <xf numFmtId="7" fontId="3" fillId="2" borderId="36" xfId="1" applyBorder="1"/>
    <xf numFmtId="0" fontId="3" fillId="4" borderId="37" xfId="2" applyFill="1" applyBorder="1" applyAlignment="1">
      <alignment vertical="center" wrapText="1"/>
    </xf>
    <xf numFmtId="1" fontId="2" fillId="4" borderId="35" xfId="2" applyNumberFormat="1" applyFont="1" applyFill="1" applyBorder="1" applyAlignment="1">
      <alignment horizontal="center" vertical="center" wrapText="1"/>
    </xf>
    <xf numFmtId="164" fontId="2" fillId="4" borderId="36" xfId="2" applyNumberFormat="1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 vertical="center"/>
    </xf>
    <xf numFmtId="0" fontId="6" fillId="4" borderId="5" xfId="2" applyFont="1" applyFill="1" applyBorder="1" applyAlignment="1">
      <alignment horizontal="center" vertical="center"/>
    </xf>
    <xf numFmtId="0" fontId="6" fillId="4" borderId="6" xfId="2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2:AP40"/>
  <sheetViews>
    <sheetView showGridLines="0" tabSelected="1" topLeftCell="A28" zoomScale="115" zoomScaleNormal="115" zoomScalePageLayoutView="120" workbookViewId="0">
      <selection activeCell="F35" sqref="F35"/>
    </sheetView>
  </sheetViews>
  <sheetFormatPr defaultColWidth="10.7109375" defaultRowHeight="12.75" x14ac:dyDescent="0.2"/>
  <cols>
    <col min="1" max="1" width="28" style="60" customWidth="1"/>
    <col min="2" max="3" width="7.5703125" style="15" customWidth="1"/>
    <col min="4" max="4" width="9" style="61" customWidth="1"/>
    <col min="5" max="5" width="11.140625" style="56" customWidth="1"/>
    <col min="6" max="6" width="11.140625" style="10" customWidth="1"/>
    <col min="7" max="7" width="11.28515625" style="10" customWidth="1"/>
    <col min="8" max="8" width="11.140625" style="10" customWidth="1"/>
    <col min="9" max="11" width="11.140625" style="10" bestFit="1" customWidth="1"/>
    <col min="12" max="12" width="11.140625" style="10" customWidth="1"/>
    <col min="13" max="13" width="11.5703125" style="10" customWidth="1"/>
    <col min="14" max="14" width="11.7109375" style="10" customWidth="1"/>
    <col min="15" max="15" width="11.42578125" style="10" customWidth="1"/>
    <col min="16" max="16" width="11" style="10" customWidth="1"/>
    <col min="17" max="17" width="11.85546875" style="10" customWidth="1"/>
    <col min="18" max="18" width="10.7109375" style="10" customWidth="1"/>
    <col min="19" max="19" width="12" style="10" customWidth="1"/>
    <col min="20" max="20" width="10.85546875" style="10" customWidth="1"/>
    <col min="21" max="21" width="10.140625" style="10" customWidth="1"/>
    <col min="22" max="22" width="10.42578125" style="10" customWidth="1"/>
    <col min="23" max="23" width="10.5703125" style="10" customWidth="1"/>
    <col min="24" max="26" width="8.7109375" style="10" customWidth="1"/>
    <col min="27" max="27" width="9.28515625" style="10" customWidth="1"/>
    <col min="28" max="29" width="8.7109375" style="10" customWidth="1"/>
    <col min="30" max="33" width="9.140625" style="10" customWidth="1"/>
    <col min="34" max="35" width="8.5703125" style="10" customWidth="1"/>
    <col min="36" max="37" width="8.85546875" style="10" customWidth="1"/>
    <col min="38" max="38" width="8.5703125" style="10" customWidth="1"/>
    <col min="39" max="39" width="9" style="10" customWidth="1"/>
    <col min="40" max="40" width="8.42578125" style="10" customWidth="1"/>
    <col min="41" max="16384" width="10.7109375" style="10"/>
  </cols>
  <sheetData>
    <row r="2" spans="1:42" s="5" customFormat="1" ht="15.75" thickBot="1" x14ac:dyDescent="0.25">
      <c r="A2" s="1"/>
      <c r="B2" s="2"/>
      <c r="C2" s="2"/>
      <c r="D2" s="3"/>
      <c r="E2" s="4"/>
    </row>
    <row r="3" spans="1:42" ht="30.75" thickBot="1" x14ac:dyDescent="0.25">
      <c r="A3" s="6" t="s">
        <v>0</v>
      </c>
      <c r="B3" s="7" t="s">
        <v>1</v>
      </c>
      <c r="C3" s="7" t="s">
        <v>2</v>
      </c>
      <c r="D3" s="8" t="s">
        <v>3</v>
      </c>
      <c r="E3" s="9"/>
      <c r="F3" s="91" t="s">
        <v>4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3"/>
    </row>
    <row r="4" spans="1:42" s="19" customFormat="1" ht="25.15" customHeight="1" thickBot="1" x14ac:dyDescent="0.25">
      <c r="A4" s="11"/>
      <c r="B4" s="12">
        <v>1</v>
      </c>
      <c r="C4" s="12"/>
      <c r="D4" s="13"/>
      <c r="E4" s="14"/>
      <c r="F4" s="15"/>
      <c r="G4" s="10"/>
      <c r="H4" s="10" t="s">
        <v>5</v>
      </c>
      <c r="I4" s="10" t="s">
        <v>5</v>
      </c>
      <c r="J4" s="10" t="s">
        <v>5</v>
      </c>
      <c r="K4" s="10" t="s">
        <v>5</v>
      </c>
      <c r="L4" s="10" t="s">
        <v>5</v>
      </c>
      <c r="M4" s="10" t="s">
        <v>5</v>
      </c>
      <c r="N4" s="10" t="s">
        <v>5</v>
      </c>
      <c r="O4" s="10" t="s">
        <v>5</v>
      </c>
      <c r="P4" s="10" t="s">
        <v>5</v>
      </c>
      <c r="Q4" s="10" t="s">
        <v>5</v>
      </c>
      <c r="R4" s="10" t="s">
        <v>5</v>
      </c>
      <c r="S4" s="10" t="s">
        <v>5</v>
      </c>
      <c r="T4" s="10" t="s">
        <v>5</v>
      </c>
      <c r="U4" s="10" t="s">
        <v>5</v>
      </c>
      <c r="V4" s="10" t="s">
        <v>5</v>
      </c>
      <c r="W4" s="10" t="s">
        <v>5</v>
      </c>
      <c r="X4" s="10" t="s">
        <v>5</v>
      </c>
      <c r="Y4" s="10" t="s">
        <v>5</v>
      </c>
      <c r="Z4" s="10" t="s">
        <v>5</v>
      </c>
      <c r="AA4" s="10" t="s">
        <v>5</v>
      </c>
      <c r="AB4" s="16"/>
      <c r="AC4" s="16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8"/>
      <c r="AP4" s="18"/>
    </row>
    <row r="5" spans="1:42" ht="27" customHeight="1" thickBot="1" x14ac:dyDescent="0.25">
      <c r="A5" s="20"/>
      <c r="B5" s="21">
        <v>2</v>
      </c>
      <c r="C5" s="21"/>
      <c r="D5" s="22"/>
      <c r="E5" s="14"/>
      <c r="F5" s="23" t="s">
        <v>1</v>
      </c>
      <c r="G5" s="24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5" t="s">
        <v>14</v>
      </c>
      <c r="P5" s="25" t="s">
        <v>15</v>
      </c>
      <c r="Q5" s="25" t="s">
        <v>16</v>
      </c>
      <c r="R5" s="25" t="s">
        <v>17</v>
      </c>
      <c r="S5" s="25" t="s">
        <v>18</v>
      </c>
      <c r="T5" s="25" t="s">
        <v>19</v>
      </c>
      <c r="U5" s="25" t="s">
        <v>20</v>
      </c>
      <c r="V5" s="25" t="s">
        <v>21</v>
      </c>
      <c r="W5" s="25" t="s">
        <v>22</v>
      </c>
      <c r="X5" s="25" t="s">
        <v>23</v>
      </c>
      <c r="Y5" s="25" t="s">
        <v>24</v>
      </c>
      <c r="Z5" s="25" t="s">
        <v>25</v>
      </c>
      <c r="AA5" s="26" t="s">
        <v>26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27"/>
      <c r="AP5" s="27"/>
    </row>
    <row r="6" spans="1:42" ht="24.75" customHeight="1" x14ac:dyDescent="0.25">
      <c r="A6" s="28"/>
      <c r="B6" s="29">
        <v>3</v>
      </c>
      <c r="C6" s="29"/>
      <c r="D6" s="30"/>
      <c r="E6" s="14"/>
      <c r="F6" s="31">
        <v>1</v>
      </c>
      <c r="G6" s="32">
        <v>9.2899999999999991</v>
      </c>
      <c r="H6" s="33">
        <v>9.4700000000000006</v>
      </c>
      <c r="I6" s="33">
        <v>9.76</v>
      </c>
      <c r="J6" s="33">
        <v>9.94</v>
      </c>
      <c r="K6" s="33">
        <v>10.130000000000001</v>
      </c>
      <c r="L6" s="33">
        <v>10.31</v>
      </c>
      <c r="M6" s="33">
        <v>10.59</v>
      </c>
      <c r="N6" s="33">
        <v>10.77</v>
      </c>
      <c r="O6" s="33">
        <v>10.96</v>
      </c>
      <c r="P6" s="33">
        <v>11.24</v>
      </c>
      <c r="Q6" s="33">
        <v>11.43</v>
      </c>
      <c r="R6" s="33">
        <v>11.61</v>
      </c>
      <c r="S6" s="33">
        <v>11.89</v>
      </c>
      <c r="T6" s="33">
        <v>12.07</v>
      </c>
      <c r="U6" s="33">
        <v>12.26</v>
      </c>
      <c r="V6" s="33">
        <v>12.44</v>
      </c>
      <c r="W6" s="33">
        <v>12.73</v>
      </c>
      <c r="X6" s="33">
        <v>12.73</v>
      </c>
      <c r="Y6" s="33">
        <v>12.73</v>
      </c>
      <c r="Z6" s="33">
        <v>12.73</v>
      </c>
      <c r="AA6" s="34">
        <v>12.91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27"/>
      <c r="AP6" s="27"/>
    </row>
    <row r="7" spans="1:42" ht="19.899999999999999" customHeight="1" x14ac:dyDescent="0.25">
      <c r="A7" s="20" t="s">
        <v>27</v>
      </c>
      <c r="B7" s="21">
        <v>4</v>
      </c>
      <c r="C7" s="21">
        <v>261</v>
      </c>
      <c r="D7" s="22">
        <v>8</v>
      </c>
      <c r="E7" s="14"/>
      <c r="F7" s="35">
        <v>2</v>
      </c>
      <c r="G7" s="36">
        <v>11.14</v>
      </c>
      <c r="H7" s="37">
        <v>11.36</v>
      </c>
      <c r="I7" s="37">
        <v>11.7</v>
      </c>
      <c r="J7" s="37">
        <v>11.92</v>
      </c>
      <c r="K7" s="37">
        <v>12.15</v>
      </c>
      <c r="L7" s="37">
        <v>12.37</v>
      </c>
      <c r="M7" s="37">
        <v>12.7</v>
      </c>
      <c r="N7" s="37">
        <v>12.92</v>
      </c>
      <c r="O7" s="37">
        <v>13.15</v>
      </c>
      <c r="P7" s="37">
        <v>13.48</v>
      </c>
      <c r="Q7" s="37">
        <v>13.71</v>
      </c>
      <c r="R7" s="37">
        <v>13.93</v>
      </c>
      <c r="S7" s="37">
        <v>14.27</v>
      </c>
      <c r="T7" s="37">
        <v>14.49</v>
      </c>
      <c r="U7" s="37">
        <v>14.7</v>
      </c>
      <c r="V7" s="37">
        <v>14.93</v>
      </c>
      <c r="W7" s="37">
        <v>15.26</v>
      </c>
      <c r="X7" s="37">
        <v>15.26</v>
      </c>
      <c r="Y7" s="37">
        <v>15.26</v>
      </c>
      <c r="Z7" s="37">
        <v>15.26</v>
      </c>
      <c r="AA7" s="38">
        <v>15.49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27"/>
      <c r="AP7" s="27"/>
    </row>
    <row r="8" spans="1:42" ht="28.5" customHeight="1" x14ac:dyDescent="0.25">
      <c r="A8" s="28"/>
      <c r="B8" s="29"/>
      <c r="C8" s="29"/>
      <c r="D8" s="30"/>
      <c r="E8" s="14"/>
      <c r="F8" s="35">
        <v>3</v>
      </c>
      <c r="G8" s="36">
        <v>12.26</v>
      </c>
      <c r="H8" s="37">
        <v>12.5</v>
      </c>
      <c r="I8" s="37">
        <v>12.87</v>
      </c>
      <c r="J8" s="37">
        <v>13.12</v>
      </c>
      <c r="K8" s="37">
        <v>13.36</v>
      </c>
      <c r="L8" s="37">
        <v>13.6</v>
      </c>
      <c r="M8" s="37">
        <v>13.97</v>
      </c>
      <c r="N8" s="37">
        <v>14.22</v>
      </c>
      <c r="O8" s="37">
        <v>14.46</v>
      </c>
      <c r="P8" s="37">
        <v>14.84</v>
      </c>
      <c r="Q8" s="37">
        <v>15.08</v>
      </c>
      <c r="R8" s="37">
        <v>15.33</v>
      </c>
      <c r="S8" s="37">
        <v>15.69</v>
      </c>
      <c r="T8" s="37">
        <v>15.94</v>
      </c>
      <c r="U8" s="37">
        <v>16.18</v>
      </c>
      <c r="V8" s="37">
        <v>16.420000000000002</v>
      </c>
      <c r="W8" s="37">
        <v>16.79</v>
      </c>
      <c r="X8" s="37">
        <v>16.79</v>
      </c>
      <c r="Y8" s="37">
        <v>16.79</v>
      </c>
      <c r="Z8" s="37">
        <v>16.79</v>
      </c>
      <c r="AA8" s="38">
        <v>17.04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27"/>
      <c r="AP8" s="27"/>
    </row>
    <row r="9" spans="1:42" ht="30" customHeight="1" x14ac:dyDescent="0.25">
      <c r="A9" s="20" t="s">
        <v>28</v>
      </c>
      <c r="B9" s="21">
        <v>5</v>
      </c>
      <c r="C9" s="21">
        <v>191</v>
      </c>
      <c r="D9" s="22">
        <v>7.5</v>
      </c>
      <c r="E9" s="14"/>
      <c r="F9" s="35">
        <v>4</v>
      </c>
      <c r="G9" s="36">
        <v>12.87</v>
      </c>
      <c r="H9" s="37">
        <v>13.13</v>
      </c>
      <c r="I9" s="37">
        <v>13.51</v>
      </c>
      <c r="J9" s="37">
        <v>13.78</v>
      </c>
      <c r="K9" s="37">
        <v>14.03</v>
      </c>
      <c r="L9" s="37">
        <v>14.29</v>
      </c>
      <c r="M9" s="37">
        <v>14.67</v>
      </c>
      <c r="N9" s="37">
        <v>14.93</v>
      </c>
      <c r="O9" s="37">
        <v>15.18</v>
      </c>
      <c r="P9" s="37">
        <v>15.58</v>
      </c>
      <c r="Q9" s="37">
        <v>15.83</v>
      </c>
      <c r="R9" s="37">
        <v>16.09</v>
      </c>
      <c r="S9" s="37">
        <v>16.47</v>
      </c>
      <c r="T9" s="37">
        <v>16.739999999999998</v>
      </c>
      <c r="U9" s="37">
        <v>16.989999999999998</v>
      </c>
      <c r="V9" s="37">
        <v>17.25</v>
      </c>
      <c r="W9" s="37">
        <v>17.63</v>
      </c>
      <c r="X9" s="37">
        <v>17.63</v>
      </c>
      <c r="Y9" s="37">
        <v>17.63</v>
      </c>
      <c r="Z9" s="37">
        <v>17.63</v>
      </c>
      <c r="AA9" s="38">
        <v>17.89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27"/>
      <c r="AP9" s="27"/>
    </row>
    <row r="10" spans="1:42" ht="19.899999999999999" customHeight="1" x14ac:dyDescent="0.25">
      <c r="A10" s="28"/>
      <c r="B10" s="29"/>
      <c r="C10" s="29"/>
      <c r="D10" s="30"/>
      <c r="E10" s="14"/>
      <c r="F10" s="35">
        <v>5</v>
      </c>
      <c r="G10" s="36">
        <v>13.51</v>
      </c>
      <c r="H10" s="37">
        <v>13.79</v>
      </c>
      <c r="I10" s="37">
        <v>14.19</v>
      </c>
      <c r="J10" s="37">
        <v>14.46</v>
      </c>
      <c r="K10" s="37">
        <v>14.73</v>
      </c>
      <c r="L10" s="37">
        <v>15</v>
      </c>
      <c r="M10" s="37">
        <v>15.4</v>
      </c>
      <c r="N10" s="37">
        <v>15.68</v>
      </c>
      <c r="O10" s="37">
        <v>15.95</v>
      </c>
      <c r="P10" s="37">
        <v>16.350000000000001</v>
      </c>
      <c r="Q10" s="37">
        <v>16.63</v>
      </c>
      <c r="R10" s="37">
        <v>16.89</v>
      </c>
      <c r="S10" s="37">
        <v>17.29</v>
      </c>
      <c r="T10" s="37">
        <v>17.57</v>
      </c>
      <c r="U10" s="37">
        <v>17.84</v>
      </c>
      <c r="V10" s="37">
        <v>18.11</v>
      </c>
      <c r="W10" s="37">
        <v>18.52</v>
      </c>
      <c r="X10" s="37">
        <v>18.52</v>
      </c>
      <c r="Y10" s="37">
        <v>18.52</v>
      </c>
      <c r="Z10" s="37">
        <v>18.52</v>
      </c>
      <c r="AA10" s="38">
        <v>18.78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27"/>
      <c r="AP10" s="27"/>
    </row>
    <row r="11" spans="1:42" ht="19.899999999999999" customHeight="1" x14ac:dyDescent="0.25">
      <c r="A11" s="20"/>
      <c r="B11" s="21">
        <v>6</v>
      </c>
      <c r="C11" s="21">
        <v>261</v>
      </c>
      <c r="D11" s="22">
        <v>8</v>
      </c>
      <c r="E11" s="14"/>
      <c r="F11" s="35">
        <v>6</v>
      </c>
      <c r="G11" s="36">
        <v>14.19</v>
      </c>
      <c r="H11" s="37">
        <v>14.47</v>
      </c>
      <c r="I11" s="37">
        <v>14.9</v>
      </c>
      <c r="J11" s="37">
        <v>15.18</v>
      </c>
      <c r="K11" s="37">
        <v>15.47</v>
      </c>
      <c r="L11" s="37">
        <v>15.75</v>
      </c>
      <c r="M11" s="37">
        <v>16.18</v>
      </c>
      <c r="N11" s="37">
        <v>16.46</v>
      </c>
      <c r="O11" s="37">
        <v>16.75</v>
      </c>
      <c r="P11" s="37">
        <v>17.170000000000002</v>
      </c>
      <c r="Q11" s="37">
        <v>17.46</v>
      </c>
      <c r="R11" s="37">
        <v>17.739999999999998</v>
      </c>
      <c r="S11" s="37">
        <v>18.170000000000002</v>
      </c>
      <c r="T11" s="37">
        <v>18.45</v>
      </c>
      <c r="U11" s="37">
        <v>18.72</v>
      </c>
      <c r="V11" s="37">
        <v>19.010000000000002</v>
      </c>
      <c r="W11" s="37">
        <v>19.43</v>
      </c>
      <c r="X11" s="37">
        <v>19.43</v>
      </c>
      <c r="Y11" s="37">
        <v>19.43</v>
      </c>
      <c r="Z11" s="37">
        <v>19.43</v>
      </c>
      <c r="AA11" s="38">
        <v>19.72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27"/>
      <c r="AP11" s="27"/>
    </row>
    <row r="12" spans="1:42" ht="19.899999999999999" customHeight="1" x14ac:dyDescent="0.25">
      <c r="A12" s="28" t="s">
        <v>29</v>
      </c>
      <c r="B12" s="29">
        <v>7</v>
      </c>
      <c r="C12" s="29">
        <v>261</v>
      </c>
      <c r="D12" s="30">
        <v>8</v>
      </c>
      <c r="E12" s="14"/>
      <c r="F12" s="35">
        <v>7</v>
      </c>
      <c r="G12" s="36">
        <v>15.61</v>
      </c>
      <c r="H12" s="37">
        <v>15.92</v>
      </c>
      <c r="I12" s="37">
        <v>16.39</v>
      </c>
      <c r="J12" s="37">
        <v>16.7</v>
      </c>
      <c r="K12" s="37">
        <v>17.010000000000002</v>
      </c>
      <c r="L12" s="37">
        <v>17.329999999999998</v>
      </c>
      <c r="M12" s="37">
        <v>17.8</v>
      </c>
      <c r="N12" s="37">
        <v>18.100000000000001</v>
      </c>
      <c r="O12" s="37">
        <v>18.420000000000002</v>
      </c>
      <c r="P12" s="37">
        <v>18.89</v>
      </c>
      <c r="Q12" s="37">
        <v>19.190000000000001</v>
      </c>
      <c r="R12" s="37">
        <v>19.510000000000002</v>
      </c>
      <c r="S12" s="37">
        <v>19.98</v>
      </c>
      <c r="T12" s="37">
        <v>20.29</v>
      </c>
      <c r="U12" s="37">
        <v>20.6</v>
      </c>
      <c r="V12" s="37">
        <v>20.92</v>
      </c>
      <c r="W12" s="37">
        <v>21.38</v>
      </c>
      <c r="X12" s="37">
        <v>21.38</v>
      </c>
      <c r="Y12" s="37">
        <v>21.38</v>
      </c>
      <c r="Z12" s="37">
        <v>21.38</v>
      </c>
      <c r="AA12" s="38">
        <v>21.7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27"/>
      <c r="AP12" s="27"/>
    </row>
    <row r="13" spans="1:42" ht="19.899999999999999" customHeight="1" x14ac:dyDescent="0.25">
      <c r="A13" s="20"/>
      <c r="B13" s="21">
        <v>8</v>
      </c>
      <c r="C13" s="21">
        <v>191</v>
      </c>
      <c r="D13" s="22">
        <v>7.5</v>
      </c>
      <c r="E13" s="14"/>
      <c r="F13" s="35">
        <v>8</v>
      </c>
      <c r="G13" s="36">
        <v>15.92</v>
      </c>
      <c r="H13" s="37">
        <v>16.23</v>
      </c>
      <c r="I13" s="37">
        <v>16.71</v>
      </c>
      <c r="J13" s="37">
        <v>17.03</v>
      </c>
      <c r="K13" s="37">
        <v>17.350000000000001</v>
      </c>
      <c r="L13" s="37">
        <v>17.68</v>
      </c>
      <c r="M13" s="37">
        <v>18.149999999999999</v>
      </c>
      <c r="N13" s="37">
        <v>18.46</v>
      </c>
      <c r="O13" s="37">
        <v>18.79</v>
      </c>
      <c r="P13" s="37">
        <v>19.260000000000002</v>
      </c>
      <c r="Q13" s="37">
        <v>19.579999999999998</v>
      </c>
      <c r="R13" s="37">
        <v>19.899999999999999</v>
      </c>
      <c r="S13" s="37">
        <v>20.37</v>
      </c>
      <c r="T13" s="37">
        <v>20.7</v>
      </c>
      <c r="U13" s="37">
        <v>21.02</v>
      </c>
      <c r="V13" s="37">
        <v>21.33</v>
      </c>
      <c r="W13" s="37">
        <v>21.82</v>
      </c>
      <c r="X13" s="37">
        <v>21.82</v>
      </c>
      <c r="Y13" s="37">
        <v>21.82</v>
      </c>
      <c r="Z13" s="37">
        <v>21.82</v>
      </c>
      <c r="AA13" s="38">
        <v>22.13</v>
      </c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27"/>
      <c r="AP13" s="27"/>
    </row>
    <row r="14" spans="1:42" ht="19.899999999999999" customHeight="1" x14ac:dyDescent="0.25">
      <c r="A14" s="28" t="s">
        <v>30</v>
      </c>
      <c r="B14" s="29">
        <v>8</v>
      </c>
      <c r="C14" s="29">
        <v>261</v>
      </c>
      <c r="D14" s="30">
        <v>8</v>
      </c>
      <c r="E14" s="14"/>
      <c r="F14" s="35">
        <v>9</v>
      </c>
      <c r="G14" s="36">
        <v>16.88</v>
      </c>
      <c r="H14" s="37">
        <v>17.22</v>
      </c>
      <c r="I14" s="37">
        <v>17.72</v>
      </c>
      <c r="J14" s="37">
        <v>18.059999999999999</v>
      </c>
      <c r="K14" s="37">
        <v>18.399999999999999</v>
      </c>
      <c r="L14" s="37">
        <v>18.73</v>
      </c>
      <c r="M14" s="37">
        <v>19.239999999999998</v>
      </c>
      <c r="N14" s="37">
        <v>19.579999999999998</v>
      </c>
      <c r="O14" s="37">
        <v>19.91</v>
      </c>
      <c r="P14" s="37">
        <v>20.420000000000002</v>
      </c>
      <c r="Q14" s="37">
        <v>20.76</v>
      </c>
      <c r="R14" s="37">
        <v>21.09</v>
      </c>
      <c r="S14" s="37">
        <v>21.6</v>
      </c>
      <c r="T14" s="37">
        <v>21.94</v>
      </c>
      <c r="U14" s="37">
        <v>22.27</v>
      </c>
      <c r="V14" s="37">
        <v>22.61</v>
      </c>
      <c r="W14" s="37">
        <v>23.12</v>
      </c>
      <c r="X14" s="37">
        <v>23.12</v>
      </c>
      <c r="Y14" s="37">
        <v>23.12</v>
      </c>
      <c r="Z14" s="37">
        <v>23.12</v>
      </c>
      <c r="AA14" s="38">
        <v>23.45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27"/>
      <c r="AP14" s="27"/>
    </row>
    <row r="15" spans="1:42" ht="19.899999999999999" customHeight="1" x14ac:dyDescent="0.25">
      <c r="A15" s="39"/>
      <c r="B15" s="40"/>
      <c r="C15" s="40"/>
      <c r="D15" s="41"/>
      <c r="E15" s="14"/>
      <c r="F15" s="35">
        <v>10</v>
      </c>
      <c r="G15" s="36">
        <v>17.22</v>
      </c>
      <c r="H15" s="37">
        <v>17.559999999999999</v>
      </c>
      <c r="I15" s="37">
        <v>18.07</v>
      </c>
      <c r="J15" s="37">
        <v>18.420000000000002</v>
      </c>
      <c r="K15" s="37">
        <v>18.760000000000002</v>
      </c>
      <c r="L15" s="37">
        <v>19.11</v>
      </c>
      <c r="M15" s="37">
        <v>19.62</v>
      </c>
      <c r="N15" s="37">
        <v>19.97</v>
      </c>
      <c r="O15" s="37">
        <v>20.309999999999999</v>
      </c>
      <c r="P15" s="37">
        <v>20.83</v>
      </c>
      <c r="Q15" s="37">
        <v>21.17</v>
      </c>
      <c r="R15" s="37">
        <v>21.52</v>
      </c>
      <c r="S15" s="37">
        <v>22.03</v>
      </c>
      <c r="T15" s="37">
        <v>22.37</v>
      </c>
      <c r="U15" s="37">
        <v>22.72</v>
      </c>
      <c r="V15" s="37">
        <v>23.06</v>
      </c>
      <c r="W15" s="37">
        <v>23.59</v>
      </c>
      <c r="X15" s="37">
        <v>23.59</v>
      </c>
      <c r="Y15" s="37">
        <v>23.59</v>
      </c>
      <c r="Z15" s="37">
        <v>23.59</v>
      </c>
      <c r="AA15" s="38">
        <v>23.92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27"/>
      <c r="AP15" s="27"/>
    </row>
    <row r="16" spans="1:42" ht="30.75" customHeight="1" x14ac:dyDescent="0.25">
      <c r="A16" s="28" t="s">
        <v>31</v>
      </c>
      <c r="B16" s="29">
        <v>9</v>
      </c>
      <c r="C16" s="29">
        <v>261</v>
      </c>
      <c r="D16" s="30">
        <v>8</v>
      </c>
      <c r="E16" s="14"/>
      <c r="F16" s="35">
        <v>11</v>
      </c>
      <c r="G16" s="36">
        <v>17.559999999999999</v>
      </c>
      <c r="H16" s="37">
        <v>17.899999999999999</v>
      </c>
      <c r="I16" s="37">
        <v>18.440000000000001</v>
      </c>
      <c r="J16" s="37">
        <v>18.79</v>
      </c>
      <c r="K16" s="37">
        <v>19.14</v>
      </c>
      <c r="L16" s="37">
        <v>19.489999999999998</v>
      </c>
      <c r="M16" s="37">
        <v>20.010000000000002</v>
      </c>
      <c r="N16" s="37">
        <v>20.36</v>
      </c>
      <c r="O16" s="37">
        <v>20.71</v>
      </c>
      <c r="P16" s="37">
        <v>21.25</v>
      </c>
      <c r="Q16" s="37">
        <v>21.6</v>
      </c>
      <c r="R16" s="37">
        <v>21.95</v>
      </c>
      <c r="S16" s="37">
        <v>22.47</v>
      </c>
      <c r="T16" s="37">
        <v>22.82</v>
      </c>
      <c r="U16" s="37">
        <v>23.17</v>
      </c>
      <c r="V16" s="37">
        <v>23.53</v>
      </c>
      <c r="W16" s="37">
        <v>24.06</v>
      </c>
      <c r="X16" s="37">
        <v>24.06</v>
      </c>
      <c r="Y16" s="37">
        <v>24.06</v>
      </c>
      <c r="Z16" s="37">
        <v>24.06</v>
      </c>
      <c r="AA16" s="38">
        <v>24.4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27"/>
      <c r="AP16" s="27"/>
    </row>
    <row r="17" spans="1:42" ht="28.5" customHeight="1" x14ac:dyDescent="0.25">
      <c r="A17" s="20" t="s">
        <v>32</v>
      </c>
      <c r="B17" s="21">
        <v>10</v>
      </c>
      <c r="C17" s="21">
        <v>261</v>
      </c>
      <c r="D17" s="22">
        <v>8</v>
      </c>
      <c r="E17" s="14"/>
      <c r="F17" s="35">
        <v>12</v>
      </c>
      <c r="G17" s="36">
        <v>18.440000000000001</v>
      </c>
      <c r="H17" s="37">
        <v>18.8</v>
      </c>
      <c r="I17" s="37">
        <v>19.36</v>
      </c>
      <c r="J17" s="37">
        <v>19.73</v>
      </c>
      <c r="K17" s="37">
        <v>20.09</v>
      </c>
      <c r="L17" s="37">
        <v>20.46</v>
      </c>
      <c r="M17" s="37">
        <v>21.02</v>
      </c>
      <c r="N17" s="37">
        <v>21.39</v>
      </c>
      <c r="O17" s="37">
        <v>21.75</v>
      </c>
      <c r="P17" s="37">
        <v>22.31</v>
      </c>
      <c r="Q17" s="37">
        <v>22.68</v>
      </c>
      <c r="R17" s="37">
        <v>23.04</v>
      </c>
      <c r="S17" s="37">
        <v>23.6</v>
      </c>
      <c r="T17" s="37">
        <v>23.97</v>
      </c>
      <c r="U17" s="37">
        <v>24.34</v>
      </c>
      <c r="V17" s="37">
        <v>24.7</v>
      </c>
      <c r="W17" s="37">
        <v>25.26</v>
      </c>
      <c r="X17" s="37">
        <v>25.26</v>
      </c>
      <c r="Y17" s="37">
        <v>25.26</v>
      </c>
      <c r="Z17" s="37">
        <v>25.26</v>
      </c>
      <c r="AA17" s="38">
        <v>25.63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27"/>
      <c r="AP17" s="27"/>
    </row>
    <row r="18" spans="1:42" ht="26.25" customHeight="1" x14ac:dyDescent="0.25">
      <c r="A18" s="28" t="s">
        <v>33</v>
      </c>
      <c r="B18" s="29">
        <v>11</v>
      </c>
      <c r="C18" s="29">
        <v>261</v>
      </c>
      <c r="D18" s="30">
        <v>8</v>
      </c>
      <c r="E18" s="14"/>
      <c r="F18" s="35">
        <v>13</v>
      </c>
      <c r="G18" s="36">
        <v>18.899999999999999</v>
      </c>
      <c r="H18" s="37">
        <v>19.27</v>
      </c>
      <c r="I18" s="37">
        <v>19.84</v>
      </c>
      <c r="J18" s="37">
        <v>20.22</v>
      </c>
      <c r="K18" s="37">
        <v>20.59</v>
      </c>
      <c r="L18" s="37">
        <v>20.97</v>
      </c>
      <c r="M18" s="37">
        <v>21.54</v>
      </c>
      <c r="N18" s="37">
        <v>21.91</v>
      </c>
      <c r="O18" s="37">
        <v>22.3</v>
      </c>
      <c r="P18" s="37">
        <v>22.86</v>
      </c>
      <c r="Q18" s="37">
        <v>23.25</v>
      </c>
      <c r="R18" s="37">
        <v>23.62</v>
      </c>
      <c r="S18" s="37">
        <v>24.19</v>
      </c>
      <c r="T18" s="37">
        <v>24.57</v>
      </c>
      <c r="U18" s="37">
        <v>24.94</v>
      </c>
      <c r="V18" s="37">
        <v>25.32</v>
      </c>
      <c r="W18" s="37">
        <v>25.89</v>
      </c>
      <c r="X18" s="37">
        <v>25.89</v>
      </c>
      <c r="Y18" s="37">
        <v>25.89</v>
      </c>
      <c r="Z18" s="37">
        <v>25.89</v>
      </c>
      <c r="AA18" s="38">
        <v>26.26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27"/>
      <c r="AP18" s="27"/>
    </row>
    <row r="19" spans="1:42" ht="19.899999999999999" customHeight="1" x14ac:dyDescent="0.25">
      <c r="A19" s="20" t="s">
        <v>34</v>
      </c>
      <c r="B19" s="21">
        <v>12</v>
      </c>
      <c r="C19" s="21">
        <v>191</v>
      </c>
      <c r="D19" s="22">
        <v>7.5</v>
      </c>
      <c r="E19" s="14"/>
      <c r="F19" s="35">
        <v>14</v>
      </c>
      <c r="G19" s="36">
        <v>19.37</v>
      </c>
      <c r="H19" s="37">
        <v>19.75</v>
      </c>
      <c r="I19" s="37">
        <v>20.34</v>
      </c>
      <c r="J19" s="37">
        <v>20.72</v>
      </c>
      <c r="K19" s="37">
        <v>21.12</v>
      </c>
      <c r="L19" s="37">
        <v>21.5</v>
      </c>
      <c r="M19" s="37">
        <v>22.08</v>
      </c>
      <c r="N19" s="37">
        <v>22.47</v>
      </c>
      <c r="O19" s="37">
        <v>22.85</v>
      </c>
      <c r="P19" s="37">
        <v>23.43</v>
      </c>
      <c r="Q19" s="37">
        <v>23.83</v>
      </c>
      <c r="R19" s="37">
        <v>24.21</v>
      </c>
      <c r="S19" s="37">
        <v>24.79</v>
      </c>
      <c r="T19" s="37">
        <v>25.18</v>
      </c>
      <c r="U19" s="37">
        <v>25.56</v>
      </c>
      <c r="V19" s="37">
        <v>25.96</v>
      </c>
      <c r="W19" s="37">
        <v>26.53</v>
      </c>
      <c r="X19" s="37">
        <v>26.53</v>
      </c>
      <c r="Y19" s="37">
        <v>26.53</v>
      </c>
      <c r="Z19" s="37">
        <v>26.53</v>
      </c>
      <c r="AA19" s="38">
        <v>26.92</v>
      </c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27"/>
      <c r="AP19" s="27"/>
    </row>
    <row r="20" spans="1:42" ht="19.899999999999999" customHeight="1" x14ac:dyDescent="0.25">
      <c r="A20" s="28" t="s">
        <v>34</v>
      </c>
      <c r="B20" s="29">
        <v>12</v>
      </c>
      <c r="C20" s="29">
        <v>226</v>
      </c>
      <c r="D20" s="30">
        <v>8</v>
      </c>
      <c r="E20" s="14"/>
      <c r="F20" s="35">
        <v>15</v>
      </c>
      <c r="G20" s="36">
        <v>19.84</v>
      </c>
      <c r="H20" s="37">
        <v>20.239999999999998</v>
      </c>
      <c r="I20" s="37">
        <v>20.83</v>
      </c>
      <c r="J20" s="37">
        <v>21.23</v>
      </c>
      <c r="K20" s="37">
        <v>21.63</v>
      </c>
      <c r="L20" s="37">
        <v>22.02</v>
      </c>
      <c r="M20" s="37">
        <v>22.61</v>
      </c>
      <c r="N20" s="37">
        <v>23.02</v>
      </c>
      <c r="O20" s="37">
        <v>23.41</v>
      </c>
      <c r="P20" s="37">
        <v>24.01</v>
      </c>
      <c r="Q20" s="37">
        <v>24.4</v>
      </c>
      <c r="R20" s="37">
        <v>24.8</v>
      </c>
      <c r="S20" s="37">
        <v>25.4</v>
      </c>
      <c r="T20" s="37">
        <v>25.79</v>
      </c>
      <c r="U20" s="37">
        <v>26.19</v>
      </c>
      <c r="V20" s="37">
        <v>26.59</v>
      </c>
      <c r="W20" s="37">
        <v>27.18</v>
      </c>
      <c r="X20" s="37">
        <v>27.18</v>
      </c>
      <c r="Y20" s="37">
        <v>27.18</v>
      </c>
      <c r="Z20" s="37">
        <v>27.18</v>
      </c>
      <c r="AA20" s="38">
        <v>27.58</v>
      </c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27"/>
      <c r="AP20" s="27"/>
    </row>
    <row r="21" spans="1:42" ht="30" customHeight="1" x14ac:dyDescent="0.25">
      <c r="A21" s="28" t="s">
        <v>35</v>
      </c>
      <c r="B21" s="29">
        <v>12</v>
      </c>
      <c r="C21" s="29">
        <v>261</v>
      </c>
      <c r="D21" s="30">
        <v>8</v>
      </c>
      <c r="E21" s="14"/>
      <c r="F21" s="35">
        <v>16</v>
      </c>
      <c r="G21" s="36">
        <v>20.239999999999998</v>
      </c>
      <c r="H21" s="37">
        <v>20.65</v>
      </c>
      <c r="I21" s="37">
        <v>21.25</v>
      </c>
      <c r="J21" s="37">
        <v>21.65</v>
      </c>
      <c r="K21" s="37">
        <v>22.06</v>
      </c>
      <c r="L21" s="37">
        <v>22.46</v>
      </c>
      <c r="M21" s="37">
        <v>23.07</v>
      </c>
      <c r="N21" s="37">
        <v>23.48</v>
      </c>
      <c r="O21" s="37">
        <v>23.88</v>
      </c>
      <c r="P21" s="37">
        <v>24.49</v>
      </c>
      <c r="Q21" s="37">
        <v>24.9</v>
      </c>
      <c r="R21" s="37">
        <v>25.3</v>
      </c>
      <c r="S21" s="37">
        <v>25.9</v>
      </c>
      <c r="T21" s="37">
        <v>26.31</v>
      </c>
      <c r="U21" s="37">
        <v>26.71</v>
      </c>
      <c r="V21" s="37">
        <v>27.11</v>
      </c>
      <c r="W21" s="37">
        <v>27.73</v>
      </c>
      <c r="X21" s="37">
        <v>27.73</v>
      </c>
      <c r="Y21" s="37">
        <v>27.73</v>
      </c>
      <c r="Z21" s="37">
        <v>27.73</v>
      </c>
      <c r="AA21" s="38">
        <v>28.13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27"/>
      <c r="AP21" s="27"/>
    </row>
    <row r="22" spans="1:42" ht="23.25" customHeight="1" x14ac:dyDescent="0.25">
      <c r="A22" s="20" t="s">
        <v>36</v>
      </c>
      <c r="B22" s="21">
        <v>13</v>
      </c>
      <c r="C22" s="21">
        <v>261</v>
      </c>
      <c r="D22" s="22">
        <v>8</v>
      </c>
      <c r="E22" s="14"/>
      <c r="F22" s="35">
        <v>17</v>
      </c>
      <c r="G22" s="36">
        <v>21.05</v>
      </c>
      <c r="H22" s="37">
        <v>21.47</v>
      </c>
      <c r="I22" s="37">
        <v>22.1</v>
      </c>
      <c r="J22" s="37">
        <v>22.51</v>
      </c>
      <c r="K22" s="37">
        <v>22.94</v>
      </c>
      <c r="L22" s="37">
        <v>23.37</v>
      </c>
      <c r="M22" s="37">
        <v>23.99</v>
      </c>
      <c r="N22" s="37">
        <v>24.42</v>
      </c>
      <c r="O22" s="37">
        <v>24.83</v>
      </c>
      <c r="P22" s="37">
        <v>25.46</v>
      </c>
      <c r="Q22" s="37">
        <v>25.89</v>
      </c>
      <c r="R22" s="37">
        <v>26.31</v>
      </c>
      <c r="S22" s="37">
        <v>26.94</v>
      </c>
      <c r="T22" s="37">
        <v>27.37</v>
      </c>
      <c r="U22" s="37">
        <v>27.78</v>
      </c>
      <c r="V22" s="37">
        <v>28.21</v>
      </c>
      <c r="W22" s="37">
        <v>28.83</v>
      </c>
      <c r="X22" s="37">
        <v>28.83</v>
      </c>
      <c r="Y22" s="37">
        <v>28.83</v>
      </c>
      <c r="Z22" s="37">
        <v>28.83</v>
      </c>
      <c r="AA22" s="38">
        <v>29.25</v>
      </c>
      <c r="AB22" s="16"/>
      <c r="AC22" s="16"/>
      <c r="AD22" s="16"/>
      <c r="AE22" s="16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</row>
    <row r="23" spans="1:42" ht="19.899999999999999" customHeight="1" x14ac:dyDescent="0.25">
      <c r="A23" s="28" t="s">
        <v>37</v>
      </c>
      <c r="B23" s="29">
        <v>14</v>
      </c>
      <c r="C23" s="29">
        <v>261</v>
      </c>
      <c r="D23" s="30">
        <v>8</v>
      </c>
      <c r="E23" s="14"/>
      <c r="F23" s="35">
        <v>18</v>
      </c>
      <c r="G23" s="36">
        <v>21.58</v>
      </c>
      <c r="H23" s="37">
        <v>22</v>
      </c>
      <c r="I23" s="37">
        <v>22.66</v>
      </c>
      <c r="J23" s="37">
        <v>23.08</v>
      </c>
      <c r="K23" s="37">
        <v>23.52</v>
      </c>
      <c r="L23" s="37">
        <v>23.95</v>
      </c>
      <c r="M23" s="37">
        <v>24.59</v>
      </c>
      <c r="N23" s="37">
        <v>25.03</v>
      </c>
      <c r="O23" s="37">
        <v>25.45</v>
      </c>
      <c r="P23" s="37">
        <v>26.1</v>
      </c>
      <c r="Q23" s="37">
        <v>26.53</v>
      </c>
      <c r="R23" s="37">
        <v>26.96</v>
      </c>
      <c r="S23" s="37">
        <v>27.62</v>
      </c>
      <c r="T23" s="37">
        <v>28.04</v>
      </c>
      <c r="U23" s="37">
        <v>28.48</v>
      </c>
      <c r="V23" s="37">
        <v>28.91</v>
      </c>
      <c r="W23" s="37">
        <v>29.55</v>
      </c>
      <c r="X23" s="37">
        <v>29.55</v>
      </c>
      <c r="Y23" s="37">
        <v>29.55</v>
      </c>
      <c r="Z23" s="37">
        <v>29.55</v>
      </c>
      <c r="AA23" s="38">
        <v>29.99</v>
      </c>
      <c r="AB23" s="27"/>
      <c r="AC23" s="27"/>
      <c r="AD23" s="16"/>
      <c r="AE23" s="16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</row>
    <row r="24" spans="1:42" ht="25.5" customHeight="1" x14ac:dyDescent="0.25">
      <c r="A24" s="20" t="s">
        <v>38</v>
      </c>
      <c r="B24" s="21">
        <v>15</v>
      </c>
      <c r="C24" s="21">
        <v>261</v>
      </c>
      <c r="D24" s="22">
        <v>8</v>
      </c>
      <c r="E24" s="14"/>
      <c r="F24" s="35">
        <v>19</v>
      </c>
      <c r="G24" s="36">
        <v>22</v>
      </c>
      <c r="H24" s="37">
        <v>22.45</v>
      </c>
      <c r="I24" s="37">
        <v>23.1</v>
      </c>
      <c r="J24" s="37">
        <v>23.54</v>
      </c>
      <c r="K24" s="37">
        <v>23.99</v>
      </c>
      <c r="L24" s="37">
        <v>24.43</v>
      </c>
      <c r="M24" s="37">
        <v>25.08</v>
      </c>
      <c r="N24" s="37">
        <v>25.53</v>
      </c>
      <c r="O24" s="37">
        <v>25.97</v>
      </c>
      <c r="P24" s="37">
        <v>26.62</v>
      </c>
      <c r="Q24" s="37">
        <v>27.07</v>
      </c>
      <c r="R24" s="37">
        <v>27.51</v>
      </c>
      <c r="S24" s="37">
        <v>28.16</v>
      </c>
      <c r="T24" s="37">
        <v>28.61</v>
      </c>
      <c r="U24" s="37">
        <v>29.05</v>
      </c>
      <c r="V24" s="37">
        <v>29.48</v>
      </c>
      <c r="W24" s="37">
        <v>30.15</v>
      </c>
      <c r="X24" s="37">
        <v>30.15</v>
      </c>
      <c r="Y24" s="37">
        <v>30.15</v>
      </c>
      <c r="Z24" s="37">
        <v>30.15</v>
      </c>
      <c r="AA24" s="38">
        <v>30.59</v>
      </c>
      <c r="AB24" s="27"/>
      <c r="AC24" s="27"/>
      <c r="AD24" s="16"/>
      <c r="AE24" s="16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</row>
    <row r="25" spans="1:42" ht="19.899999999999999" customHeight="1" x14ac:dyDescent="0.25">
      <c r="A25" s="28" t="s">
        <v>39</v>
      </c>
      <c r="B25" s="29">
        <v>15</v>
      </c>
      <c r="C25" s="29">
        <v>261</v>
      </c>
      <c r="D25" s="30">
        <v>8</v>
      </c>
      <c r="E25" s="14"/>
      <c r="F25" s="35">
        <v>20</v>
      </c>
      <c r="G25" s="36">
        <v>22.45</v>
      </c>
      <c r="H25" s="37">
        <v>22.9</v>
      </c>
      <c r="I25" s="37">
        <v>23.56</v>
      </c>
      <c r="J25" s="37">
        <v>24.01</v>
      </c>
      <c r="K25" s="37">
        <v>24.46</v>
      </c>
      <c r="L25" s="37">
        <v>24.92</v>
      </c>
      <c r="M25" s="37">
        <v>25.58</v>
      </c>
      <c r="N25" s="37">
        <v>26.03</v>
      </c>
      <c r="O25" s="37">
        <v>26.48</v>
      </c>
      <c r="P25" s="37">
        <v>27.16</v>
      </c>
      <c r="Q25" s="37">
        <v>27.61</v>
      </c>
      <c r="R25" s="37">
        <v>28.05</v>
      </c>
      <c r="S25" s="37">
        <v>28.73</v>
      </c>
      <c r="T25" s="37">
        <v>29.18</v>
      </c>
      <c r="U25" s="37">
        <v>29.63</v>
      </c>
      <c r="V25" s="37">
        <v>30.07</v>
      </c>
      <c r="W25" s="37">
        <v>30.75</v>
      </c>
      <c r="X25" s="37">
        <v>30.75</v>
      </c>
      <c r="Y25" s="37">
        <v>30.75</v>
      </c>
      <c r="Z25" s="37">
        <v>30.75</v>
      </c>
      <c r="AA25" s="38">
        <v>31.2</v>
      </c>
      <c r="AB25" s="27"/>
      <c r="AC25" s="27"/>
      <c r="AD25" s="16"/>
      <c r="AE25" s="16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spans="1:42" ht="26.25" customHeight="1" x14ac:dyDescent="0.25">
      <c r="A26" s="20" t="s">
        <v>40</v>
      </c>
      <c r="B26" s="21">
        <v>16</v>
      </c>
      <c r="C26" s="21">
        <v>261</v>
      </c>
      <c r="D26" s="22">
        <v>8</v>
      </c>
      <c r="E26" s="14"/>
      <c r="F26" s="35">
        <v>21</v>
      </c>
      <c r="G26" s="36">
        <v>22.9</v>
      </c>
      <c r="H26" s="37">
        <v>23.36</v>
      </c>
      <c r="I26" s="37">
        <v>24.03</v>
      </c>
      <c r="J26" s="37">
        <v>24.49</v>
      </c>
      <c r="K26" s="37">
        <v>24.95</v>
      </c>
      <c r="L26" s="37">
        <v>25.41</v>
      </c>
      <c r="M26" s="37">
        <v>26.1</v>
      </c>
      <c r="N26" s="37">
        <v>26.56</v>
      </c>
      <c r="O26" s="37">
        <v>27.02</v>
      </c>
      <c r="P26" s="37">
        <v>27.7</v>
      </c>
      <c r="Q26" s="37">
        <v>28.16</v>
      </c>
      <c r="R26" s="37">
        <v>28.62</v>
      </c>
      <c r="S26" s="37">
        <v>29.3</v>
      </c>
      <c r="T26" s="37">
        <v>29.76</v>
      </c>
      <c r="U26" s="37">
        <v>30.22</v>
      </c>
      <c r="V26" s="37">
        <v>30.68</v>
      </c>
      <c r="W26" s="37">
        <v>31.36</v>
      </c>
      <c r="X26" s="37">
        <v>31.36</v>
      </c>
      <c r="Y26" s="37">
        <v>31.36</v>
      </c>
      <c r="Z26" s="37">
        <v>31.36</v>
      </c>
      <c r="AA26" s="38">
        <v>31.82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</row>
    <row r="27" spans="1:42" ht="19.899999999999999" customHeight="1" x14ac:dyDescent="0.25">
      <c r="A27" s="28" t="s">
        <v>41</v>
      </c>
      <c r="B27" s="29">
        <v>17</v>
      </c>
      <c r="C27" s="29">
        <v>226</v>
      </c>
      <c r="D27" s="30">
        <v>8</v>
      </c>
      <c r="E27" s="14"/>
      <c r="F27" s="35">
        <v>22</v>
      </c>
      <c r="G27" s="36">
        <v>24.58</v>
      </c>
      <c r="H27" s="37">
        <v>25.07</v>
      </c>
      <c r="I27" s="37">
        <v>25.81</v>
      </c>
      <c r="J27" s="37">
        <v>26.31</v>
      </c>
      <c r="K27" s="37">
        <v>26.8</v>
      </c>
      <c r="L27" s="37">
        <v>27.29</v>
      </c>
      <c r="M27" s="37">
        <v>28.02</v>
      </c>
      <c r="N27" s="37">
        <v>28.51</v>
      </c>
      <c r="O27" s="37">
        <v>29</v>
      </c>
      <c r="P27" s="37">
        <v>29.75</v>
      </c>
      <c r="Q27" s="37">
        <v>30.24</v>
      </c>
      <c r="R27" s="37">
        <v>30.73</v>
      </c>
      <c r="S27" s="37">
        <v>31.46</v>
      </c>
      <c r="T27" s="37">
        <v>31.95</v>
      </c>
      <c r="U27" s="37">
        <v>32.44</v>
      </c>
      <c r="V27" s="37">
        <v>32.94</v>
      </c>
      <c r="W27" s="37">
        <v>33.68</v>
      </c>
      <c r="X27" s="37">
        <v>33.68</v>
      </c>
      <c r="Y27" s="37">
        <v>33.68</v>
      </c>
      <c r="Z27" s="37">
        <v>33.68</v>
      </c>
      <c r="AA27" s="38">
        <v>34.17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</row>
    <row r="28" spans="1:42" ht="29.25" customHeight="1" x14ac:dyDescent="0.25">
      <c r="A28" s="20" t="s">
        <v>42</v>
      </c>
      <c r="B28" s="21">
        <v>17</v>
      </c>
      <c r="C28" s="21">
        <v>232</v>
      </c>
      <c r="D28" s="22">
        <v>7.5</v>
      </c>
      <c r="E28" s="14"/>
      <c r="F28" s="35">
        <v>23</v>
      </c>
      <c r="G28" s="36">
        <v>25.48</v>
      </c>
      <c r="H28" s="37">
        <v>25.99</v>
      </c>
      <c r="I28" s="37">
        <v>26.75</v>
      </c>
      <c r="J28" s="37">
        <v>27.27</v>
      </c>
      <c r="K28" s="37">
        <v>27.77</v>
      </c>
      <c r="L28" s="37">
        <v>28.28</v>
      </c>
      <c r="M28" s="37">
        <v>29.05</v>
      </c>
      <c r="N28" s="37">
        <v>29.56</v>
      </c>
      <c r="O28" s="37">
        <v>30.06</v>
      </c>
      <c r="P28" s="37">
        <v>30.83</v>
      </c>
      <c r="Q28" s="37">
        <v>31.34</v>
      </c>
      <c r="R28" s="37">
        <v>31.85</v>
      </c>
      <c r="S28" s="37">
        <v>32.619999999999997</v>
      </c>
      <c r="T28" s="37">
        <v>33.119999999999997</v>
      </c>
      <c r="U28" s="37">
        <v>33.64</v>
      </c>
      <c r="V28" s="37">
        <v>34.15</v>
      </c>
      <c r="W28" s="37">
        <v>34.9</v>
      </c>
      <c r="X28" s="37">
        <v>34.9</v>
      </c>
      <c r="Y28" s="37">
        <v>34.9</v>
      </c>
      <c r="Z28" s="37">
        <v>34.9</v>
      </c>
      <c r="AA28" s="38">
        <v>35.42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</row>
    <row r="29" spans="1:42" ht="36.75" customHeight="1" x14ac:dyDescent="0.25">
      <c r="A29" s="28" t="s">
        <v>43</v>
      </c>
      <c r="B29" s="29">
        <v>18</v>
      </c>
      <c r="C29" s="29">
        <v>261</v>
      </c>
      <c r="D29" s="30">
        <v>8</v>
      </c>
      <c r="E29" s="14"/>
      <c r="F29" s="35">
        <v>24</v>
      </c>
      <c r="G29" s="36">
        <v>26.75</v>
      </c>
      <c r="H29" s="37">
        <v>27.29</v>
      </c>
      <c r="I29" s="37">
        <v>28.1</v>
      </c>
      <c r="J29" s="37">
        <v>28.63</v>
      </c>
      <c r="K29" s="37">
        <v>29.17</v>
      </c>
      <c r="L29" s="37">
        <v>29.69</v>
      </c>
      <c r="M29" s="37">
        <v>30.5</v>
      </c>
      <c r="N29" s="37">
        <v>31.04</v>
      </c>
      <c r="O29" s="37">
        <v>31.57</v>
      </c>
      <c r="P29" s="37">
        <v>32.369999999999997</v>
      </c>
      <c r="Q29" s="37">
        <v>32.9</v>
      </c>
      <c r="R29" s="37">
        <v>33.44</v>
      </c>
      <c r="S29" s="37">
        <v>34.25</v>
      </c>
      <c r="T29" s="37">
        <v>34.78</v>
      </c>
      <c r="U29" s="37">
        <v>35.32</v>
      </c>
      <c r="V29" s="37">
        <v>35.85</v>
      </c>
      <c r="W29" s="37">
        <v>36.65</v>
      </c>
      <c r="X29" s="37">
        <v>36.65</v>
      </c>
      <c r="Y29" s="37">
        <v>36.65</v>
      </c>
      <c r="Z29" s="37">
        <v>36.65</v>
      </c>
      <c r="AA29" s="38">
        <v>37.19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</row>
    <row r="30" spans="1:42" ht="19.899999999999999" customHeight="1" x14ac:dyDescent="0.25">
      <c r="A30" s="20" t="s">
        <v>44</v>
      </c>
      <c r="B30" s="21">
        <v>19</v>
      </c>
      <c r="C30" s="21">
        <v>261</v>
      </c>
      <c r="D30" s="22">
        <v>8</v>
      </c>
      <c r="E30" s="14"/>
      <c r="F30" s="35">
        <v>25</v>
      </c>
      <c r="G30" s="36">
        <v>27.29</v>
      </c>
      <c r="H30" s="37">
        <v>27.83</v>
      </c>
      <c r="I30" s="37">
        <v>28.65</v>
      </c>
      <c r="J30" s="37">
        <v>29.2</v>
      </c>
      <c r="K30" s="37">
        <v>29.75</v>
      </c>
      <c r="L30" s="37">
        <v>30.29</v>
      </c>
      <c r="M30" s="37">
        <v>31.11</v>
      </c>
      <c r="N30" s="37">
        <v>31.66</v>
      </c>
      <c r="O30" s="37">
        <v>32.200000000000003</v>
      </c>
      <c r="P30" s="37">
        <v>33.020000000000003</v>
      </c>
      <c r="Q30" s="37">
        <v>33.57</v>
      </c>
      <c r="R30" s="37">
        <v>34.119999999999997</v>
      </c>
      <c r="S30" s="37">
        <v>34.94</v>
      </c>
      <c r="T30" s="37">
        <v>35.47</v>
      </c>
      <c r="U30" s="37">
        <v>36.020000000000003</v>
      </c>
      <c r="V30" s="37">
        <v>36.56</v>
      </c>
      <c r="W30" s="37">
        <v>37.380000000000003</v>
      </c>
      <c r="X30" s="37">
        <v>37.380000000000003</v>
      </c>
      <c r="Y30" s="37">
        <v>37.380000000000003</v>
      </c>
      <c r="Z30" s="37">
        <v>37.380000000000003</v>
      </c>
      <c r="AA30" s="38">
        <v>37.93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</row>
    <row r="31" spans="1:42" ht="23.25" customHeight="1" x14ac:dyDescent="0.25">
      <c r="A31" s="28" t="s">
        <v>45</v>
      </c>
      <c r="B31" s="29">
        <v>20</v>
      </c>
      <c r="C31" s="29">
        <v>261</v>
      </c>
      <c r="D31" s="30">
        <v>8</v>
      </c>
      <c r="E31" s="14"/>
      <c r="F31" s="42">
        <v>26</v>
      </c>
      <c r="G31" s="43">
        <v>27.83</v>
      </c>
      <c r="H31" s="44">
        <v>28.39</v>
      </c>
      <c r="I31" s="44">
        <v>29.22</v>
      </c>
      <c r="J31" s="44">
        <v>29.78</v>
      </c>
      <c r="K31" s="44">
        <v>30.34</v>
      </c>
      <c r="L31" s="44">
        <v>30.89</v>
      </c>
      <c r="M31" s="44">
        <v>31.73</v>
      </c>
      <c r="N31" s="44">
        <v>32.29</v>
      </c>
      <c r="O31" s="44">
        <v>32.85</v>
      </c>
      <c r="P31" s="44">
        <v>33.68</v>
      </c>
      <c r="Q31" s="44">
        <v>34.24</v>
      </c>
      <c r="R31" s="44">
        <v>34.79</v>
      </c>
      <c r="S31" s="44">
        <v>35.619999999999997</v>
      </c>
      <c r="T31" s="44">
        <v>36.18</v>
      </c>
      <c r="U31" s="44">
        <v>36.74</v>
      </c>
      <c r="V31" s="44">
        <v>37.299999999999997</v>
      </c>
      <c r="W31" s="44">
        <v>38.14</v>
      </c>
      <c r="X31" s="44">
        <v>38.14</v>
      </c>
      <c r="Y31" s="44">
        <v>38.14</v>
      </c>
      <c r="Z31" s="44">
        <v>38.14</v>
      </c>
      <c r="AA31" s="45">
        <v>38.69</v>
      </c>
    </row>
    <row r="32" spans="1:42" ht="15" x14ac:dyDescent="0.25">
      <c r="A32" s="20" t="s">
        <v>46</v>
      </c>
      <c r="B32" s="21">
        <v>21</v>
      </c>
      <c r="C32" s="21">
        <v>226</v>
      </c>
      <c r="D32" s="22">
        <v>8</v>
      </c>
      <c r="E32" s="14"/>
      <c r="F32" s="42">
        <v>27</v>
      </c>
      <c r="G32" s="46">
        <f>30.68</f>
        <v>30.68</v>
      </c>
      <c r="H32" s="37">
        <f>31.29</f>
        <v>31.29</v>
      </c>
      <c r="I32" s="37">
        <f>32.2</f>
        <v>32.200000000000003</v>
      </c>
      <c r="J32" s="37">
        <f>32.83</f>
        <v>32.83</v>
      </c>
      <c r="K32" s="37">
        <f>33.44</f>
        <v>33.44</v>
      </c>
      <c r="L32" s="37">
        <f>34.05</f>
        <v>34.049999999999997</v>
      </c>
      <c r="M32" s="37">
        <f>34.97</f>
        <v>34.97</v>
      </c>
      <c r="N32" s="37">
        <f>35.58</f>
        <v>35.58</v>
      </c>
      <c r="O32" s="37">
        <f>36.19</f>
        <v>36.19</v>
      </c>
      <c r="P32" s="37">
        <f>37.12</f>
        <v>37.119999999999997</v>
      </c>
      <c r="Q32" s="37">
        <f>37.73</f>
        <v>37.729999999999997</v>
      </c>
      <c r="R32" s="37">
        <f>38.34</f>
        <v>38.340000000000003</v>
      </c>
      <c r="S32" s="37">
        <f>39.26</f>
        <v>39.26</v>
      </c>
      <c r="T32" s="37">
        <f>39.87</f>
        <v>39.869999999999997</v>
      </c>
      <c r="U32" s="37">
        <f>40.5</f>
        <v>40.5</v>
      </c>
      <c r="V32" s="37">
        <f>41.11</f>
        <v>41.11</v>
      </c>
      <c r="W32" s="37">
        <f t="shared" ref="W32:Z33" si="0">42.03</f>
        <v>42.03</v>
      </c>
      <c r="X32" s="37">
        <f t="shared" si="0"/>
        <v>42.03</v>
      </c>
      <c r="Y32" s="37">
        <f t="shared" si="0"/>
        <v>42.03</v>
      </c>
      <c r="Z32" s="37">
        <f t="shared" si="0"/>
        <v>42.03</v>
      </c>
      <c r="AA32" s="38">
        <f>42.64</f>
        <v>42.64</v>
      </c>
    </row>
    <row r="33" spans="1:27" ht="15.75" thickBot="1" x14ac:dyDescent="0.3">
      <c r="A33" s="28" t="s">
        <v>47</v>
      </c>
      <c r="B33" s="29">
        <v>21</v>
      </c>
      <c r="C33" s="29">
        <v>206</v>
      </c>
      <c r="D33" s="30">
        <v>7.5</v>
      </c>
      <c r="E33" s="14"/>
      <c r="F33" s="47">
        <v>27</v>
      </c>
      <c r="G33" s="48">
        <f>30.68</f>
        <v>30.68</v>
      </c>
      <c r="H33" s="49">
        <f>31.29</f>
        <v>31.29</v>
      </c>
      <c r="I33" s="49">
        <f>32.2</f>
        <v>32.200000000000003</v>
      </c>
      <c r="J33" s="49">
        <f>32.83</f>
        <v>32.83</v>
      </c>
      <c r="K33" s="49">
        <f>33.44</f>
        <v>33.44</v>
      </c>
      <c r="L33" s="49">
        <f>34.05</f>
        <v>34.049999999999997</v>
      </c>
      <c r="M33" s="49">
        <f>34.97</f>
        <v>34.97</v>
      </c>
      <c r="N33" s="49">
        <f>35.58</f>
        <v>35.58</v>
      </c>
      <c r="O33" s="49">
        <f>36.19</f>
        <v>36.19</v>
      </c>
      <c r="P33" s="49">
        <f>37.12</f>
        <v>37.119999999999997</v>
      </c>
      <c r="Q33" s="49">
        <f>37.73</f>
        <v>37.729999999999997</v>
      </c>
      <c r="R33" s="49">
        <f>38.34</f>
        <v>38.340000000000003</v>
      </c>
      <c r="S33" s="49">
        <f>39.26</f>
        <v>39.26</v>
      </c>
      <c r="T33" s="49">
        <f>39.87</f>
        <v>39.869999999999997</v>
      </c>
      <c r="U33" s="49">
        <f>40.5</f>
        <v>40.5</v>
      </c>
      <c r="V33" s="49">
        <f>41.11</f>
        <v>41.11</v>
      </c>
      <c r="W33" s="49">
        <f t="shared" si="0"/>
        <v>42.03</v>
      </c>
      <c r="X33" s="49">
        <f t="shared" si="0"/>
        <v>42.03</v>
      </c>
      <c r="Y33" s="49">
        <f t="shared" si="0"/>
        <v>42.03</v>
      </c>
      <c r="Z33" s="49">
        <f t="shared" si="0"/>
        <v>42.03</v>
      </c>
      <c r="AA33" s="50">
        <f>42.64</f>
        <v>42.64</v>
      </c>
    </row>
    <row r="34" spans="1:27" ht="42" customHeight="1" x14ac:dyDescent="0.2">
      <c r="A34" s="20" t="s">
        <v>48</v>
      </c>
      <c r="B34" s="21">
        <v>22</v>
      </c>
      <c r="C34" s="21">
        <v>261</v>
      </c>
      <c r="D34" s="22">
        <v>8</v>
      </c>
      <c r="E34" s="14"/>
      <c r="F34" s="15"/>
      <c r="H34" s="51" t="s">
        <v>49</v>
      </c>
    </row>
    <row r="35" spans="1:27" ht="62.25" customHeight="1" x14ac:dyDescent="0.2">
      <c r="A35" s="28" t="s">
        <v>50</v>
      </c>
      <c r="B35" s="29">
        <v>23</v>
      </c>
      <c r="C35" s="29">
        <v>261</v>
      </c>
      <c r="D35" s="30">
        <v>8</v>
      </c>
      <c r="E35" s="14"/>
      <c r="F35" s="15"/>
      <c r="H35" s="51"/>
    </row>
    <row r="36" spans="1:27" ht="15" x14ac:dyDescent="0.2">
      <c r="A36" s="20" t="s">
        <v>51</v>
      </c>
      <c r="B36" s="21">
        <v>24</v>
      </c>
      <c r="C36" s="21">
        <v>261</v>
      </c>
      <c r="D36" s="22">
        <v>8</v>
      </c>
      <c r="E36" s="14"/>
    </row>
    <row r="37" spans="1:27" ht="38.25" x14ac:dyDescent="0.2">
      <c r="A37" s="28" t="s">
        <v>52</v>
      </c>
      <c r="B37" s="29">
        <v>25</v>
      </c>
      <c r="C37" s="29">
        <v>261</v>
      </c>
      <c r="D37" s="30">
        <v>8</v>
      </c>
      <c r="E37" s="14"/>
    </row>
    <row r="38" spans="1:27" ht="25.5" x14ac:dyDescent="0.2">
      <c r="A38" s="52" t="s">
        <v>53</v>
      </c>
      <c r="B38" s="21">
        <v>26</v>
      </c>
      <c r="C38" s="21">
        <v>261</v>
      </c>
      <c r="D38" s="53">
        <v>8</v>
      </c>
      <c r="E38" s="14"/>
    </row>
    <row r="39" spans="1:27" x14ac:dyDescent="0.2">
      <c r="A39" s="54" t="s">
        <v>54</v>
      </c>
      <c r="B39" s="29">
        <v>27</v>
      </c>
      <c r="C39" s="29">
        <v>192</v>
      </c>
      <c r="D39" s="55">
        <v>7.5</v>
      </c>
    </row>
    <row r="40" spans="1:27" x14ac:dyDescent="0.2">
      <c r="A40" s="57" t="s">
        <v>55</v>
      </c>
      <c r="B40" s="58">
        <v>27</v>
      </c>
      <c r="C40" s="58">
        <v>196</v>
      </c>
      <c r="D40" s="59">
        <v>7.5</v>
      </c>
    </row>
  </sheetData>
  <mergeCells count="1">
    <mergeCell ref="F3:AA3"/>
  </mergeCells>
  <printOptions horizontalCentered="1"/>
  <pageMargins left="0.7" right="0.7" top="0.75" bottom="0.75" header="0.3" footer="0.3"/>
  <pageSetup scale="56" orientation="landscape" r:id="rId1"/>
  <headerFooter alignWithMargins="0">
    <oddFooter>&amp;L&amp;"Arial,Bold"&amp;F&amp;C&amp;"Arial,Bold"&amp;D &amp;R&amp;"Arial,Bold"Appendix D-1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AU46"/>
  <sheetViews>
    <sheetView showGridLines="0" zoomScaleNormal="120" zoomScalePageLayoutView="120" workbookViewId="0">
      <selection activeCell="F35" sqref="F35"/>
    </sheetView>
  </sheetViews>
  <sheetFormatPr defaultColWidth="10.7109375" defaultRowHeight="12.75" x14ac:dyDescent="0.2"/>
  <cols>
    <col min="1" max="1" width="27.5703125" style="10" customWidth="1"/>
    <col min="2" max="3" width="10.7109375" style="10"/>
    <col min="4" max="4" width="8.140625" style="62" customWidth="1"/>
    <col min="5" max="5" width="10.7109375" style="10"/>
    <col min="6" max="7" width="10" style="15" customWidth="1"/>
    <col min="8" max="8" width="12.85546875" style="10" customWidth="1"/>
    <col min="9" max="9" width="12" style="10" customWidth="1"/>
    <col min="10" max="10" width="12.28515625" style="10" customWidth="1"/>
    <col min="11" max="11" width="11.85546875" style="10" customWidth="1"/>
    <col min="12" max="12" width="12" style="10" customWidth="1"/>
    <col min="13" max="13" width="13.28515625" style="10" customWidth="1"/>
    <col min="14" max="14" width="12.28515625" style="10" customWidth="1"/>
    <col min="15" max="15" width="13.5703125" style="10" customWidth="1"/>
    <col min="16" max="16" width="12.140625" style="10" customWidth="1"/>
    <col min="17" max="17" width="12.28515625" style="10" customWidth="1"/>
    <col min="18" max="18" width="11.85546875" style="10" customWidth="1"/>
    <col min="19" max="23" width="12.140625" style="10" bestFit="1" customWidth="1"/>
    <col min="24" max="24" width="12.5703125" style="10" customWidth="1"/>
    <col min="25" max="25" width="13" style="10" customWidth="1"/>
    <col min="26" max="26" width="13.28515625" style="10" customWidth="1"/>
    <col min="27" max="27" width="12.140625" style="10" customWidth="1"/>
    <col min="28" max="28" width="12.42578125" style="10" customWidth="1"/>
    <col min="29" max="31" width="8.7109375" style="10" customWidth="1"/>
    <col min="32" max="32" width="9.28515625" style="10" customWidth="1"/>
    <col min="33" max="34" width="8.7109375" style="10" customWidth="1"/>
    <col min="35" max="38" width="9.140625" style="10" customWidth="1"/>
    <col min="39" max="40" width="8.5703125" style="10" customWidth="1"/>
    <col min="41" max="42" width="8.85546875" style="10" customWidth="1"/>
    <col min="43" max="43" width="8.5703125" style="10" customWidth="1"/>
    <col min="44" max="44" width="9" style="10" customWidth="1"/>
    <col min="45" max="45" width="8.42578125" style="10" customWidth="1"/>
    <col min="46" max="16384" width="10.7109375" style="10"/>
  </cols>
  <sheetData>
    <row r="1" spans="1:47" ht="13.5" thickBot="1" x14ac:dyDescent="0.25"/>
    <row r="2" spans="1:47" s="5" customFormat="1" ht="27.75" customHeight="1" thickBot="1" x14ac:dyDescent="0.25">
      <c r="A2" s="63" t="s">
        <v>0</v>
      </c>
      <c r="B2" s="7" t="s">
        <v>1</v>
      </c>
      <c r="C2" s="7" t="s">
        <v>2</v>
      </c>
      <c r="D2" s="8" t="s">
        <v>3</v>
      </c>
      <c r="F2" s="91" t="s">
        <v>56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47" ht="15.75" thickBot="1" x14ac:dyDescent="0.25">
      <c r="A3" s="64"/>
      <c r="B3" s="65"/>
      <c r="C3" s="65"/>
      <c r="D3" s="66"/>
      <c r="I3" s="10" t="s">
        <v>5</v>
      </c>
      <c r="J3" s="10" t="s">
        <v>5</v>
      </c>
      <c r="K3" s="10" t="s">
        <v>5</v>
      </c>
      <c r="L3" s="10" t="s">
        <v>5</v>
      </c>
      <c r="M3" s="10" t="s">
        <v>5</v>
      </c>
      <c r="N3" s="10" t="s">
        <v>5</v>
      </c>
      <c r="O3" s="10" t="s">
        <v>5</v>
      </c>
      <c r="P3" s="10" t="s">
        <v>5</v>
      </c>
      <c r="Q3" s="10" t="s">
        <v>5</v>
      </c>
      <c r="R3" s="10" t="s">
        <v>5</v>
      </c>
      <c r="S3" s="10" t="s">
        <v>5</v>
      </c>
      <c r="T3" s="10" t="s">
        <v>5</v>
      </c>
      <c r="U3" s="10" t="s">
        <v>5</v>
      </c>
      <c r="V3" s="10" t="s">
        <v>5</v>
      </c>
      <c r="W3" s="10" t="s">
        <v>5</v>
      </c>
      <c r="X3" s="10" t="s">
        <v>5</v>
      </c>
      <c r="Y3" s="10" t="s">
        <v>5</v>
      </c>
      <c r="Z3" s="10" t="s">
        <v>5</v>
      </c>
      <c r="AA3" s="10" t="s">
        <v>5</v>
      </c>
      <c r="AB3" s="10" t="s">
        <v>5</v>
      </c>
      <c r="AC3" s="10" t="s">
        <v>5</v>
      </c>
      <c r="AD3" s="10" t="s">
        <v>5</v>
      </c>
      <c r="AE3" s="10" t="s">
        <v>5</v>
      </c>
    </row>
    <row r="4" spans="1:47" s="19" customFormat="1" ht="25.15" customHeight="1" thickBot="1" x14ac:dyDescent="0.25">
      <c r="A4" s="67"/>
      <c r="B4" s="68"/>
      <c r="C4" s="68"/>
      <c r="D4" s="69"/>
      <c r="F4" s="23" t="s">
        <v>1</v>
      </c>
      <c r="G4" s="70" t="s">
        <v>2</v>
      </c>
      <c r="H4" s="71" t="s">
        <v>6</v>
      </c>
      <c r="I4" s="72" t="s">
        <v>7</v>
      </c>
      <c r="J4" s="72" t="s">
        <v>8</v>
      </c>
      <c r="K4" s="72" t="s">
        <v>9</v>
      </c>
      <c r="L4" s="72" t="s">
        <v>10</v>
      </c>
      <c r="M4" s="72" t="s">
        <v>11</v>
      </c>
      <c r="N4" s="72" t="s">
        <v>12</v>
      </c>
      <c r="O4" s="72" t="s">
        <v>13</v>
      </c>
      <c r="P4" s="72" t="s">
        <v>14</v>
      </c>
      <c r="Q4" s="72" t="s">
        <v>15</v>
      </c>
      <c r="R4" s="72" t="s">
        <v>16</v>
      </c>
      <c r="S4" s="72" t="s">
        <v>17</v>
      </c>
      <c r="T4" s="72" t="s">
        <v>18</v>
      </c>
      <c r="U4" s="72" t="s">
        <v>19</v>
      </c>
      <c r="V4" s="72" t="s">
        <v>20</v>
      </c>
      <c r="W4" s="72" t="s">
        <v>21</v>
      </c>
      <c r="X4" s="72" t="s">
        <v>22</v>
      </c>
      <c r="Y4" s="72" t="s">
        <v>23</v>
      </c>
      <c r="Z4" s="72" t="s">
        <v>24</v>
      </c>
      <c r="AA4" s="72" t="s">
        <v>25</v>
      </c>
      <c r="AB4" s="71" t="s">
        <v>26</v>
      </c>
      <c r="AC4" s="17"/>
      <c r="AD4" s="17"/>
      <c r="AE4" s="17"/>
      <c r="AF4" s="17"/>
      <c r="AG4" s="16"/>
      <c r="AH4" s="16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8"/>
      <c r="AU4" s="18"/>
    </row>
    <row r="5" spans="1:47" ht="24.75" customHeight="1" x14ac:dyDescent="0.25">
      <c r="A5" s="73" t="s">
        <v>57</v>
      </c>
      <c r="B5" s="74">
        <v>27</v>
      </c>
      <c r="C5" s="74">
        <v>261</v>
      </c>
      <c r="D5" s="75">
        <v>8</v>
      </c>
      <c r="F5" s="76">
        <v>27</v>
      </c>
      <c r="G5" s="77">
        <v>261</v>
      </c>
      <c r="H5" s="78">
        <f>30.68*261*8</f>
        <v>64059.839999999997</v>
      </c>
      <c r="I5" s="79">
        <f>31.29*261*8</f>
        <v>65333.52</v>
      </c>
      <c r="J5" s="79">
        <f>32.2*261*8</f>
        <v>67233.600000000006</v>
      </c>
      <c r="K5" s="79">
        <f>32.83*261*8</f>
        <v>68549.039999999994</v>
      </c>
      <c r="L5" s="79">
        <f>33.44*261*8</f>
        <v>69822.720000000001</v>
      </c>
      <c r="M5" s="79">
        <f>34.05*261*8</f>
        <v>71096.399999999994</v>
      </c>
      <c r="N5" s="79">
        <f>34.97*261*8</f>
        <v>73017.36</v>
      </c>
      <c r="O5" s="79">
        <f>35.58*261*8</f>
        <v>74291.039999999994</v>
      </c>
      <c r="P5" s="79">
        <f>36.19*261*8</f>
        <v>75564.72</v>
      </c>
      <c r="Q5" s="79">
        <f>37.12*261*8</f>
        <v>77506.559999999998</v>
      </c>
      <c r="R5" s="79">
        <f>37.73*261*8</f>
        <v>78780.239999999991</v>
      </c>
      <c r="S5" s="79">
        <f>38.34*261*8</f>
        <v>80053.920000000013</v>
      </c>
      <c r="T5" s="79">
        <f>39.26*261*8</f>
        <v>81974.87999999999</v>
      </c>
      <c r="U5" s="79">
        <f>39.87*261*8</f>
        <v>83248.56</v>
      </c>
      <c r="V5" s="79">
        <f>40.5*261*8</f>
        <v>84564</v>
      </c>
      <c r="W5" s="79">
        <f>41.11*261*8</f>
        <v>85837.68</v>
      </c>
      <c r="X5" s="79">
        <f>42.03*261*8</f>
        <v>87758.64</v>
      </c>
      <c r="Y5" s="79">
        <f t="shared" ref="Y5:AA5" si="0">42.03*261*8</f>
        <v>87758.64</v>
      </c>
      <c r="Z5" s="79">
        <f t="shared" si="0"/>
        <v>87758.64</v>
      </c>
      <c r="AA5" s="79">
        <f t="shared" si="0"/>
        <v>87758.64</v>
      </c>
      <c r="AB5" s="80">
        <f>42.64*261*8</f>
        <v>89032.320000000007</v>
      </c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1:47" ht="23.25" customHeight="1" x14ac:dyDescent="0.25">
      <c r="A6" s="67" t="s">
        <v>58</v>
      </c>
      <c r="B6" s="68">
        <v>28</v>
      </c>
      <c r="C6" s="68">
        <v>261</v>
      </c>
      <c r="D6" s="69">
        <v>8</v>
      </c>
      <c r="F6" s="76">
        <v>28</v>
      </c>
      <c r="G6" s="76">
        <v>261</v>
      </c>
      <c r="H6" s="36">
        <f>31.59*261*8</f>
        <v>65959.92</v>
      </c>
      <c r="I6" s="37">
        <f>32.23*261*8</f>
        <v>67296.239999999991</v>
      </c>
      <c r="J6" s="37">
        <f>33.18*261*8</f>
        <v>69279.839999999997</v>
      </c>
      <c r="K6" s="37">
        <f>33.81*261*8</f>
        <v>70595.28</v>
      </c>
      <c r="L6" s="37">
        <f>34.44*261*8</f>
        <v>71910.720000000001</v>
      </c>
      <c r="M6" s="37">
        <f>35.08*261*8</f>
        <v>73247.039999999994</v>
      </c>
      <c r="N6" s="37">
        <f>36.02*261*8</f>
        <v>75209.760000000009</v>
      </c>
      <c r="O6" s="37">
        <f>36.65*261*8</f>
        <v>76525.2</v>
      </c>
      <c r="P6" s="37">
        <f>37.28*261*8</f>
        <v>77840.639999999999</v>
      </c>
      <c r="Q6" s="37">
        <f>38.23*261*8</f>
        <v>79824.239999999991</v>
      </c>
      <c r="R6" s="37">
        <f>38.87*261*8</f>
        <v>81160.56</v>
      </c>
      <c r="S6" s="37">
        <f>39.5*261*8</f>
        <v>82476</v>
      </c>
      <c r="T6" s="37">
        <f>40.44*261*8</f>
        <v>84438.720000000001</v>
      </c>
      <c r="U6" s="37">
        <f>41.07*261*8</f>
        <v>85754.16</v>
      </c>
      <c r="V6" s="37">
        <f>41.71*261*8</f>
        <v>87090.48</v>
      </c>
      <c r="W6" s="37">
        <f>42.34*261*8</f>
        <v>88405.920000000013</v>
      </c>
      <c r="X6" s="37">
        <f>43.29*261*8</f>
        <v>90389.52</v>
      </c>
      <c r="Y6" s="37">
        <f t="shared" ref="Y6:AA6" si="1">43.29*261*8</f>
        <v>90389.52</v>
      </c>
      <c r="Z6" s="37">
        <f t="shared" si="1"/>
        <v>90389.52</v>
      </c>
      <c r="AA6" s="37">
        <f t="shared" si="1"/>
        <v>90389.52</v>
      </c>
      <c r="AB6" s="38">
        <f>43.92*261*8</f>
        <v>91704.960000000006</v>
      </c>
      <c r="AC6" s="27"/>
      <c r="AD6" s="27"/>
      <c r="AE6" s="27"/>
      <c r="AF6" s="27"/>
      <c r="AG6" s="27"/>
      <c r="AH6" s="27"/>
      <c r="AI6" s="27"/>
      <c r="AJ6" s="27"/>
    </row>
    <row r="7" spans="1:47" ht="19.899999999999999" customHeight="1" x14ac:dyDescent="0.25">
      <c r="A7" s="73" t="s">
        <v>59</v>
      </c>
      <c r="B7" s="74">
        <v>29</v>
      </c>
      <c r="C7" s="74">
        <v>226</v>
      </c>
      <c r="D7" s="75">
        <v>7.5</v>
      </c>
      <c r="F7" s="76">
        <v>29</v>
      </c>
      <c r="G7" s="76">
        <v>226</v>
      </c>
      <c r="H7" s="36">
        <f>32.95*226*7.5</f>
        <v>55850.250000000007</v>
      </c>
      <c r="I7" s="37">
        <f>33.6*226*7.5</f>
        <v>56952</v>
      </c>
      <c r="J7" s="37">
        <f>34.6*226*7.5</f>
        <v>58647</v>
      </c>
      <c r="K7" s="37">
        <f>35.25*226*7.5</f>
        <v>59748.75</v>
      </c>
      <c r="L7" s="37">
        <f>35.91*226*7.5</f>
        <v>60867.44999999999</v>
      </c>
      <c r="M7" s="37">
        <f>36.57*226*7.5</f>
        <v>61986.149999999994</v>
      </c>
      <c r="N7" s="37">
        <f>37.56*226*7.5</f>
        <v>63664.200000000012</v>
      </c>
      <c r="O7" s="37">
        <f>38.22*226*7.5</f>
        <v>64782.899999999994</v>
      </c>
      <c r="P7" s="37">
        <f>38.88*226*7.5</f>
        <v>65901.600000000006</v>
      </c>
      <c r="Q7" s="37">
        <f>39.86*226*7.5</f>
        <v>67562.700000000012</v>
      </c>
      <c r="R7" s="37">
        <f>40.53*226*7.5</f>
        <v>68698.350000000006</v>
      </c>
      <c r="S7" s="37">
        <f>41.18*226*7.5</f>
        <v>69800.100000000006</v>
      </c>
      <c r="T7" s="37">
        <f>42.17*226*7.5</f>
        <v>71478.149999999994</v>
      </c>
      <c r="U7" s="37">
        <f>42.83*226*7.5</f>
        <v>72596.850000000006</v>
      </c>
      <c r="V7" s="37">
        <f>43.49*226*7.5</f>
        <v>73715.55</v>
      </c>
      <c r="W7" s="37">
        <f>44.14*226*7.5</f>
        <v>74817.299999999988</v>
      </c>
      <c r="X7" s="37">
        <f>45.14*226*7.5</f>
        <v>76512.299999999988</v>
      </c>
      <c r="Y7" s="37">
        <f>45.14*226*7.5</f>
        <v>76512.299999999988</v>
      </c>
      <c r="Z7" s="37">
        <f>45.14*226*7.5</f>
        <v>76512.299999999988</v>
      </c>
      <c r="AA7" s="37">
        <f>45.14*226*7.5</f>
        <v>76512.299999999988</v>
      </c>
      <c r="AB7" s="38">
        <f>45.79*226*7.5</f>
        <v>77614.049999999988</v>
      </c>
      <c r="AC7" s="27"/>
      <c r="AD7" s="27"/>
      <c r="AE7" s="27"/>
      <c r="AF7" s="27"/>
      <c r="AG7" s="27"/>
      <c r="AH7" s="27"/>
      <c r="AI7" s="27"/>
      <c r="AJ7" s="27"/>
    </row>
    <row r="8" spans="1:47" ht="19.899999999999999" customHeight="1" x14ac:dyDescent="0.25">
      <c r="A8" s="73"/>
      <c r="B8" s="74"/>
      <c r="C8" s="74"/>
      <c r="D8" s="75"/>
      <c r="F8" s="76">
        <v>29</v>
      </c>
      <c r="G8" s="76">
        <v>261</v>
      </c>
      <c r="H8" s="36">
        <f>32.95*261*8</f>
        <v>68799.600000000006</v>
      </c>
      <c r="I8" s="37">
        <f>33.6*261*8</f>
        <v>70156.800000000003</v>
      </c>
      <c r="J8" s="37">
        <f>34.6*261*8</f>
        <v>72244.800000000003</v>
      </c>
      <c r="K8" s="37">
        <f>35.25*261*8</f>
        <v>73602</v>
      </c>
      <c r="L8" s="37">
        <f>35.91*261*8</f>
        <v>74980.079999999987</v>
      </c>
      <c r="M8" s="37">
        <f>36.57*261*8</f>
        <v>76358.16</v>
      </c>
      <c r="N8" s="37">
        <f>37.56*261*8</f>
        <v>78425.279999999999</v>
      </c>
      <c r="O8" s="37">
        <f>38.22*261*8</f>
        <v>79803.360000000001</v>
      </c>
      <c r="P8" s="37">
        <f>38.88*261*8</f>
        <v>81181.440000000002</v>
      </c>
      <c r="Q8" s="37">
        <f>39.86*226*8</f>
        <v>72066.880000000005</v>
      </c>
      <c r="R8" s="37">
        <f>40.53*261*8</f>
        <v>84626.64</v>
      </c>
      <c r="S8" s="37">
        <f>41.18*261*8</f>
        <v>85983.84</v>
      </c>
      <c r="T8" s="37">
        <f>42.17*261*8</f>
        <v>88050.96</v>
      </c>
      <c r="U8" s="37">
        <f>42.83*261*8</f>
        <v>89429.04</v>
      </c>
      <c r="V8" s="37">
        <f>43.49*261*8</f>
        <v>90807.12000000001</v>
      </c>
      <c r="W8" s="37">
        <f>44.14*261*8</f>
        <v>92164.32</v>
      </c>
      <c r="X8" s="37">
        <f>45.14*261*8</f>
        <v>94252.32</v>
      </c>
      <c r="Y8" s="37">
        <f t="shared" ref="Y8:AA8" si="2">45.14*261*8</f>
        <v>94252.32</v>
      </c>
      <c r="Z8" s="37">
        <f t="shared" si="2"/>
        <v>94252.32</v>
      </c>
      <c r="AA8" s="37">
        <f t="shared" si="2"/>
        <v>94252.32</v>
      </c>
      <c r="AB8" s="38">
        <f>45.79*261*8</f>
        <v>95609.52</v>
      </c>
      <c r="AC8" s="27"/>
      <c r="AD8" s="27"/>
      <c r="AE8" s="27"/>
      <c r="AF8" s="27"/>
      <c r="AG8" s="27"/>
      <c r="AH8" s="27"/>
      <c r="AI8" s="27"/>
      <c r="AJ8" s="27"/>
    </row>
    <row r="9" spans="1:47" ht="35.25" customHeight="1" x14ac:dyDescent="0.25">
      <c r="A9" s="67" t="s">
        <v>60</v>
      </c>
      <c r="B9" s="68">
        <v>29</v>
      </c>
      <c r="C9" s="68">
        <v>261</v>
      </c>
      <c r="D9" s="69">
        <v>8</v>
      </c>
      <c r="F9" s="76">
        <v>30</v>
      </c>
      <c r="G9" s="76">
        <v>206</v>
      </c>
      <c r="H9" s="36">
        <f>34.27*206*8</f>
        <v>56476.960000000006</v>
      </c>
      <c r="I9" s="37">
        <f>34.95*206*8</f>
        <v>57597.600000000006</v>
      </c>
      <c r="J9" s="37">
        <f>35.97*206*8</f>
        <v>59278.559999999998</v>
      </c>
      <c r="K9" s="37">
        <f>36.66*206*8</f>
        <v>60415.679999999993</v>
      </c>
      <c r="L9" s="37">
        <f>37.35*206*8</f>
        <v>61552.800000000003</v>
      </c>
      <c r="M9" s="37">
        <f>38.04*206*8</f>
        <v>62689.919999999998</v>
      </c>
      <c r="N9" s="37">
        <f>39.06*206*8</f>
        <v>64370.880000000005</v>
      </c>
      <c r="O9" s="37">
        <f>39.75*206*8</f>
        <v>65508</v>
      </c>
      <c r="P9" s="37">
        <f>40.43*206*8</f>
        <v>66628.639999999999</v>
      </c>
      <c r="Q9" s="37">
        <f>41.46*206*8</f>
        <v>68326.080000000002</v>
      </c>
      <c r="R9" s="37">
        <f>42.15*206*8</f>
        <v>69463.199999999997</v>
      </c>
      <c r="S9" s="37">
        <f>42.83*206*8</f>
        <v>70583.839999999997</v>
      </c>
      <c r="T9" s="37">
        <f>43.86*206*8</f>
        <v>72281.279999999999</v>
      </c>
      <c r="U9" s="37">
        <f>44.55*206*8</f>
        <v>73418.399999999994</v>
      </c>
      <c r="V9" s="37">
        <f>45.23*206*8</f>
        <v>74539.039999999994</v>
      </c>
      <c r="W9" s="37">
        <f>45.91*206*8</f>
        <v>75659.679999999993</v>
      </c>
      <c r="X9" s="37">
        <f>46.94*206*8</f>
        <v>77357.119999999995</v>
      </c>
      <c r="Y9" s="37">
        <f>46.94*206*8</f>
        <v>77357.119999999995</v>
      </c>
      <c r="Z9" s="37">
        <f>46.94*206*8</f>
        <v>77357.119999999995</v>
      </c>
      <c r="AA9" s="37">
        <f>46.94*206*8</f>
        <v>77357.119999999995</v>
      </c>
      <c r="AB9" s="38">
        <f>47.63*206*8</f>
        <v>78494.240000000005</v>
      </c>
      <c r="AC9" s="27"/>
      <c r="AD9" s="27"/>
      <c r="AE9" s="27"/>
      <c r="AF9" s="27"/>
      <c r="AG9" s="27"/>
      <c r="AH9" s="27"/>
      <c r="AI9" s="27"/>
      <c r="AJ9" s="27"/>
    </row>
    <row r="10" spans="1:47" ht="25.5" customHeight="1" x14ac:dyDescent="0.25">
      <c r="A10" s="73"/>
      <c r="B10" s="74"/>
      <c r="C10" s="74"/>
      <c r="D10" s="75"/>
      <c r="F10" s="76">
        <v>30</v>
      </c>
      <c r="G10" s="76">
        <v>226</v>
      </c>
      <c r="H10" s="36">
        <f>34.27*226*8</f>
        <v>61960.160000000003</v>
      </c>
      <c r="I10" s="37">
        <f>34.95*226*8</f>
        <v>63189.600000000006</v>
      </c>
      <c r="J10" s="37">
        <f>35.97*226*8</f>
        <v>65033.759999999995</v>
      </c>
      <c r="K10" s="37">
        <f>36.66*226*8</f>
        <v>66281.279999999999</v>
      </c>
      <c r="L10" s="37">
        <f>37.35*226*8</f>
        <v>67528.800000000003</v>
      </c>
      <c r="M10" s="37">
        <f>38.04*226*8</f>
        <v>68776.319999999992</v>
      </c>
      <c r="N10" s="37">
        <f>39.06*226*8</f>
        <v>70620.48000000001</v>
      </c>
      <c r="O10" s="37">
        <f>39.75*226*8</f>
        <v>71868</v>
      </c>
      <c r="P10" s="37">
        <f>40.43*226*8</f>
        <v>73097.440000000002</v>
      </c>
      <c r="Q10" s="37">
        <f>41.46*226*8</f>
        <v>74959.680000000008</v>
      </c>
      <c r="R10" s="37">
        <f>42.15*226*8</f>
        <v>76207.199999999997</v>
      </c>
      <c r="S10" s="37">
        <f>42.83*226*8</f>
        <v>77436.639999999999</v>
      </c>
      <c r="T10" s="37">
        <f>43.86*226*8</f>
        <v>79298.880000000005</v>
      </c>
      <c r="U10" s="37">
        <f>44.55*226*8</f>
        <v>80546.399999999994</v>
      </c>
      <c r="V10" s="37">
        <f>45.23*226*8</f>
        <v>81775.839999999997</v>
      </c>
      <c r="W10" s="37">
        <f>45.91*226*8</f>
        <v>83005.279999999999</v>
      </c>
      <c r="X10" s="37">
        <f>46.94*226*8</f>
        <v>84867.51999999999</v>
      </c>
      <c r="Y10" s="37">
        <f>46.94*226*8</f>
        <v>84867.51999999999</v>
      </c>
      <c r="Z10" s="37">
        <f>46.94*226*8</f>
        <v>84867.51999999999</v>
      </c>
      <c r="AA10" s="37">
        <f>46.94*226*8</f>
        <v>84867.51999999999</v>
      </c>
      <c r="AB10" s="38">
        <f>47.63*226*8</f>
        <v>86115.040000000008</v>
      </c>
      <c r="AC10" s="27"/>
      <c r="AD10" s="27"/>
      <c r="AE10" s="27"/>
      <c r="AF10" s="27"/>
      <c r="AG10" s="27"/>
      <c r="AH10" s="27"/>
      <c r="AI10" s="27"/>
      <c r="AJ10" s="27"/>
    </row>
    <row r="11" spans="1:47" ht="24" customHeight="1" x14ac:dyDescent="0.25">
      <c r="A11" s="81" t="s">
        <v>61</v>
      </c>
      <c r="B11" s="82">
        <v>30</v>
      </c>
      <c r="C11" s="82">
        <v>206</v>
      </c>
      <c r="D11" s="83">
        <v>8</v>
      </c>
      <c r="F11" s="76">
        <v>31</v>
      </c>
      <c r="G11" s="76">
        <v>261</v>
      </c>
      <c r="H11" s="36">
        <f>35.89*261*8</f>
        <v>74938.320000000007</v>
      </c>
      <c r="I11" s="37">
        <f>36.61*261*8</f>
        <v>76441.679999999993</v>
      </c>
      <c r="J11" s="37">
        <f>37.68*261*8</f>
        <v>78675.839999999997</v>
      </c>
      <c r="K11" s="37">
        <f>38.4*261*8</f>
        <v>80179.199999999997</v>
      </c>
      <c r="L11" s="37">
        <f>39.12*261*8</f>
        <v>81682.559999999998</v>
      </c>
      <c r="M11" s="37">
        <f>39.83*261*8</f>
        <v>83165.039999999994</v>
      </c>
      <c r="N11" s="37">
        <f>40.91*261*8</f>
        <v>85420.079999999987</v>
      </c>
      <c r="O11" s="37">
        <f>41.63*261*8</f>
        <v>86923.44</v>
      </c>
      <c r="P11" s="37">
        <f>42.34*261*8</f>
        <v>88405.920000000013</v>
      </c>
      <c r="Q11" s="37">
        <f>43.42*261*8</f>
        <v>90660.96</v>
      </c>
      <c r="R11" s="37">
        <f>44.14*261*8</f>
        <v>92164.32</v>
      </c>
      <c r="S11" s="37">
        <f>44.85*261*8</f>
        <v>93646.8</v>
      </c>
      <c r="T11" s="37">
        <f>45.94*261*8</f>
        <v>95922.72</v>
      </c>
      <c r="U11" s="37">
        <f>46.66*261*8</f>
        <v>97426.079999999987</v>
      </c>
      <c r="V11" s="37">
        <f>47.37*261*8</f>
        <v>98908.56</v>
      </c>
      <c r="W11" s="37">
        <f>48.09*261*8</f>
        <v>100411.92000000001</v>
      </c>
      <c r="X11" s="37">
        <f>49.16*261*8</f>
        <v>102646.07999999999</v>
      </c>
      <c r="Y11" s="37">
        <f t="shared" ref="Y11:AA11" si="3">49.16*261*8</f>
        <v>102646.07999999999</v>
      </c>
      <c r="Z11" s="37">
        <f t="shared" si="3"/>
        <v>102646.07999999999</v>
      </c>
      <c r="AA11" s="37">
        <f t="shared" si="3"/>
        <v>102646.07999999999</v>
      </c>
      <c r="AB11" s="38">
        <f>49.88*261*8</f>
        <v>104149.44</v>
      </c>
      <c r="AC11" s="27"/>
      <c r="AD11" s="27"/>
      <c r="AE11" s="27"/>
      <c r="AF11" s="27"/>
      <c r="AG11" s="27"/>
      <c r="AH11" s="27"/>
      <c r="AI11" s="27"/>
      <c r="AJ11" s="27"/>
    </row>
    <row r="12" spans="1:47" ht="22.5" customHeight="1" x14ac:dyDescent="0.25">
      <c r="A12" s="73" t="s">
        <v>62</v>
      </c>
      <c r="B12" s="74">
        <v>30</v>
      </c>
      <c r="C12" s="74">
        <v>206</v>
      </c>
      <c r="D12" s="75">
        <v>8</v>
      </c>
      <c r="F12" s="76">
        <v>32</v>
      </c>
      <c r="G12" s="76">
        <v>261</v>
      </c>
      <c r="H12" s="36">
        <f>37.88*261*8</f>
        <v>79093.440000000002</v>
      </c>
      <c r="I12" s="37">
        <f>38.64*261*8</f>
        <v>80680.320000000007</v>
      </c>
      <c r="J12" s="37">
        <f>39.77*261*8</f>
        <v>83039.760000000009</v>
      </c>
      <c r="K12" s="37">
        <f>40.54*261*8</f>
        <v>84647.52</v>
      </c>
      <c r="L12" s="37">
        <f>41.29*261*8</f>
        <v>86213.52</v>
      </c>
      <c r="M12" s="37">
        <f>42.05*261*8</f>
        <v>87800.4</v>
      </c>
      <c r="N12" s="37">
        <f>43.19*261*8</f>
        <v>90180.72</v>
      </c>
      <c r="O12" s="37">
        <f>43.95*261*8</f>
        <v>91767.6</v>
      </c>
      <c r="P12" s="37">
        <f>44.7*261*8</f>
        <v>93333.6</v>
      </c>
      <c r="Q12" s="37">
        <f>45.84*261*8</f>
        <v>95713.920000000013</v>
      </c>
      <c r="R12" s="37">
        <f>46.6*261*8</f>
        <v>97300.800000000003</v>
      </c>
      <c r="S12" s="37">
        <f>47.36*261*8</f>
        <v>98887.679999999993</v>
      </c>
      <c r="T12" s="37">
        <f>48.49*261*8</f>
        <v>101247.12000000001</v>
      </c>
      <c r="U12" s="37">
        <f>49.25*261*8</f>
        <v>102834</v>
      </c>
      <c r="V12" s="37">
        <f>50.01*261*8</f>
        <v>104420.87999999999</v>
      </c>
      <c r="W12" s="37">
        <f>50.76*261*8</f>
        <v>105986.87999999999</v>
      </c>
      <c r="X12" s="37">
        <f>51.9*261*8</f>
        <v>108367.2</v>
      </c>
      <c r="Y12" s="37">
        <f t="shared" ref="Y12:AA12" si="4">51.9*261*8</f>
        <v>108367.2</v>
      </c>
      <c r="Z12" s="37">
        <f t="shared" si="4"/>
        <v>108367.2</v>
      </c>
      <c r="AA12" s="37">
        <f t="shared" si="4"/>
        <v>108367.2</v>
      </c>
      <c r="AB12" s="38">
        <f>52.67*261*8</f>
        <v>109974.96</v>
      </c>
      <c r="AC12" s="27"/>
      <c r="AD12" s="27"/>
      <c r="AE12" s="27"/>
      <c r="AF12" s="27"/>
      <c r="AG12" s="27"/>
      <c r="AH12" s="27"/>
      <c r="AI12" s="27"/>
      <c r="AJ12" s="27"/>
    </row>
    <row r="13" spans="1:47" ht="23.25" customHeight="1" x14ac:dyDescent="0.25">
      <c r="A13" s="81" t="s">
        <v>63</v>
      </c>
      <c r="B13" s="82">
        <v>30</v>
      </c>
      <c r="C13" s="82">
        <v>226</v>
      </c>
      <c r="D13" s="83">
        <v>8</v>
      </c>
      <c r="F13" s="76">
        <v>33</v>
      </c>
      <c r="G13" s="76">
        <v>261</v>
      </c>
      <c r="H13" s="36">
        <f>39.05*261*8</f>
        <v>81536.399999999994</v>
      </c>
      <c r="I13" s="37">
        <f>39.84*261*8</f>
        <v>83185.920000000013</v>
      </c>
      <c r="J13" s="37">
        <f>41.01*261*8</f>
        <v>85628.87999999999</v>
      </c>
      <c r="K13" s="37">
        <f>41.78*261*8</f>
        <v>87236.64</v>
      </c>
      <c r="L13" s="37">
        <f>42.57*261*8</f>
        <v>88886.16</v>
      </c>
      <c r="M13" s="37">
        <f>43.35*261*8</f>
        <v>90514.8</v>
      </c>
      <c r="N13" s="37">
        <f>44.53*261*8</f>
        <v>92978.64</v>
      </c>
      <c r="O13" s="37">
        <f>45.3*261*8</f>
        <v>94586.4</v>
      </c>
      <c r="P13" s="37">
        <f>46.09*261*8</f>
        <v>96235.920000000013</v>
      </c>
      <c r="Q13" s="37">
        <f>47.26*261*8</f>
        <v>98678.87999999999</v>
      </c>
      <c r="R13" s="37">
        <f>48.03*261*8</f>
        <v>100286.64</v>
      </c>
      <c r="S13" s="37">
        <f>48.82*261*8</f>
        <v>101936.16</v>
      </c>
      <c r="T13" s="37">
        <f>49.99*261*8</f>
        <v>104379.12000000001</v>
      </c>
      <c r="U13" s="37">
        <f>50.78*261*8</f>
        <v>106028.64</v>
      </c>
      <c r="V13" s="37">
        <f>51.55*261*8</f>
        <v>107636.4</v>
      </c>
      <c r="W13" s="37">
        <f>52.34*261*8</f>
        <v>109285.92000000001</v>
      </c>
      <c r="X13" s="37">
        <f>53.51*261*8</f>
        <v>111728.87999999999</v>
      </c>
      <c r="Y13" s="37">
        <f t="shared" ref="Y13:AA13" si="5">53.51*261*8</f>
        <v>111728.87999999999</v>
      </c>
      <c r="Z13" s="37">
        <f t="shared" si="5"/>
        <v>111728.87999999999</v>
      </c>
      <c r="AA13" s="37">
        <f t="shared" si="5"/>
        <v>111728.87999999999</v>
      </c>
      <c r="AB13" s="38">
        <f>54.28*261*8</f>
        <v>113336.64</v>
      </c>
      <c r="AC13" s="27"/>
      <c r="AD13" s="27"/>
      <c r="AE13" s="27"/>
      <c r="AF13" s="27"/>
      <c r="AI13" s="27"/>
      <c r="AJ13" s="27"/>
    </row>
    <row r="14" spans="1:47" ht="25.5" customHeight="1" x14ac:dyDescent="0.25">
      <c r="A14" s="73" t="s">
        <v>64</v>
      </c>
      <c r="B14" s="74">
        <v>31</v>
      </c>
      <c r="C14" s="74">
        <v>261</v>
      </c>
      <c r="D14" s="75">
        <v>8</v>
      </c>
      <c r="F14" s="76">
        <v>34</v>
      </c>
      <c r="G14" s="76">
        <v>261</v>
      </c>
      <c r="H14" s="36">
        <f>40.54*261*8</f>
        <v>84647.52</v>
      </c>
      <c r="I14" s="37">
        <f>41.35*261*8</f>
        <v>86338.8</v>
      </c>
      <c r="J14" s="37">
        <f>42.56*261*8</f>
        <v>88865.279999999999</v>
      </c>
      <c r="K14" s="37">
        <f>43.38*261*8</f>
        <v>90577.44</v>
      </c>
      <c r="L14" s="37">
        <f>44.19*261*8</f>
        <v>92268.72</v>
      </c>
      <c r="M14" s="37">
        <f>45*261*8</f>
        <v>93960</v>
      </c>
      <c r="N14" s="37">
        <f>46.21*261*8</f>
        <v>96486.48</v>
      </c>
      <c r="O14" s="37">
        <f>47.02*261*8</f>
        <v>98177.760000000009</v>
      </c>
      <c r="P14" s="37">
        <f>47.84*261*8</f>
        <v>99889.920000000013</v>
      </c>
      <c r="Q14" s="37">
        <f>49.05*261*8</f>
        <v>102416.4</v>
      </c>
      <c r="R14" s="37">
        <f>49.86*261*8</f>
        <v>104107.68</v>
      </c>
      <c r="S14" s="37">
        <f>50.67*261*8</f>
        <v>105798.96</v>
      </c>
      <c r="T14" s="37">
        <f>51.89*261*8</f>
        <v>108346.32</v>
      </c>
      <c r="U14" s="37">
        <f>52.7*261*8</f>
        <v>110037.6</v>
      </c>
      <c r="V14" s="37">
        <f>53.51*261*8</f>
        <v>111728.87999999999</v>
      </c>
      <c r="W14" s="37">
        <f>54.31*261*8</f>
        <v>113399.28</v>
      </c>
      <c r="X14" s="37">
        <f>55.54*261*8</f>
        <v>115967.52</v>
      </c>
      <c r="Y14" s="37">
        <f t="shared" ref="Y14:AA14" si="6">55.54*261*8</f>
        <v>115967.52</v>
      </c>
      <c r="Z14" s="37">
        <f t="shared" si="6"/>
        <v>115967.52</v>
      </c>
      <c r="AA14" s="37">
        <f t="shared" si="6"/>
        <v>115967.52</v>
      </c>
      <c r="AB14" s="38">
        <f>56.35*261*8</f>
        <v>117658.8</v>
      </c>
      <c r="AC14" s="27"/>
      <c r="AD14" s="27"/>
      <c r="AE14" s="27"/>
      <c r="AF14" s="27"/>
      <c r="AI14" s="27"/>
      <c r="AJ14" s="27"/>
    </row>
    <row r="15" spans="1:47" ht="25.5" customHeight="1" x14ac:dyDescent="0.25">
      <c r="A15" s="81" t="s">
        <v>65</v>
      </c>
      <c r="B15" s="82">
        <v>32</v>
      </c>
      <c r="C15" s="82">
        <v>261</v>
      </c>
      <c r="D15" s="83">
        <v>8</v>
      </c>
      <c r="F15" s="76">
        <v>35</v>
      </c>
      <c r="G15" s="76">
        <v>261</v>
      </c>
      <c r="H15" s="36">
        <f>43.38*261*8</f>
        <v>90577.44</v>
      </c>
      <c r="I15" s="37">
        <f>44.24*8*261</f>
        <v>92373.12000000001</v>
      </c>
      <c r="J15" s="37">
        <f>45.54*261*8</f>
        <v>95087.52</v>
      </c>
      <c r="K15" s="37">
        <f>46.41*261*8</f>
        <v>96904.079999999987</v>
      </c>
      <c r="L15" s="37">
        <f>47.28*261*8</f>
        <v>98720.639999999999</v>
      </c>
      <c r="M15" s="37">
        <f>48.14*261*8</f>
        <v>100516.32</v>
      </c>
      <c r="N15" s="37">
        <f>49.44*261*8</f>
        <v>103230.72</v>
      </c>
      <c r="O15" s="37">
        <f>50.32*261*8</f>
        <v>105068.16</v>
      </c>
      <c r="P15" s="37">
        <f>51.18*261*8</f>
        <v>106863.84</v>
      </c>
      <c r="Q15" s="37">
        <f>52.48*261*8</f>
        <v>109578.23999999999</v>
      </c>
      <c r="R15" s="37">
        <f>53.35*261*8</f>
        <v>111394.8</v>
      </c>
      <c r="S15" s="37">
        <f>54.22*261*8</f>
        <v>113211.36</v>
      </c>
      <c r="T15" s="37">
        <f>55.52*261*8</f>
        <v>115925.76000000001</v>
      </c>
      <c r="U15" s="37">
        <f>56.39*261*8</f>
        <v>117742.32</v>
      </c>
      <c r="V15" s="37">
        <f>57.25*261*8</f>
        <v>119538</v>
      </c>
      <c r="W15" s="37">
        <f>58.12*261*8</f>
        <v>121354.56</v>
      </c>
      <c r="X15" s="37">
        <f>59.43*261*8</f>
        <v>124089.84</v>
      </c>
      <c r="Y15" s="37">
        <f t="shared" ref="Y15:AA15" si="7">59.43*261*8</f>
        <v>124089.84</v>
      </c>
      <c r="Z15" s="37">
        <f t="shared" si="7"/>
        <v>124089.84</v>
      </c>
      <c r="AA15" s="37">
        <f t="shared" si="7"/>
        <v>124089.84</v>
      </c>
      <c r="AB15" s="38">
        <f>60.29*261*8</f>
        <v>125885.52</v>
      </c>
      <c r="AC15" s="27"/>
      <c r="AD15" s="27"/>
      <c r="AE15" s="27"/>
      <c r="AF15" s="27"/>
      <c r="AI15" s="27"/>
      <c r="AJ15" s="27"/>
    </row>
    <row r="16" spans="1:47" ht="25.5" customHeight="1" x14ac:dyDescent="0.25">
      <c r="A16" s="73"/>
      <c r="B16" s="74">
        <v>33</v>
      </c>
      <c r="C16" s="74">
        <v>261</v>
      </c>
      <c r="D16" s="75">
        <v>8</v>
      </c>
      <c r="F16" s="76">
        <v>36</v>
      </c>
      <c r="G16" s="76">
        <v>261</v>
      </c>
      <c r="H16" s="36">
        <f>50.58*261*8</f>
        <v>105611.04</v>
      </c>
      <c r="I16" s="37">
        <f>51.59*261*8</f>
        <v>107719.92000000001</v>
      </c>
      <c r="J16" s="37">
        <f>53.11*261*8</f>
        <v>110893.68</v>
      </c>
      <c r="K16" s="37">
        <f>54.12*261*8</f>
        <v>113002.56</v>
      </c>
      <c r="L16" s="37">
        <f>55.13*261*8</f>
        <v>115111.44</v>
      </c>
      <c r="M16" s="37">
        <f>56.14*261*8</f>
        <v>117220.32</v>
      </c>
      <c r="N16" s="37">
        <f>57.66*261*8</f>
        <v>120394.07999999999</v>
      </c>
      <c r="O16" s="37">
        <f>58.67*261*8</f>
        <v>122502.96</v>
      </c>
      <c r="P16" s="37">
        <f>59.68*261*8</f>
        <v>124611.84</v>
      </c>
      <c r="Q16" s="37">
        <f>61.2*261*8</f>
        <v>127785.60000000001</v>
      </c>
      <c r="R16" s="37">
        <f>62.21*261*8</f>
        <v>129894.48</v>
      </c>
      <c r="S16" s="37">
        <f>63.23*261*8</f>
        <v>132024.24</v>
      </c>
      <c r="T16" s="37">
        <f>64.74*261*8</f>
        <v>135177.12</v>
      </c>
      <c r="U16" s="37">
        <f>65.75*261*8</f>
        <v>137286</v>
      </c>
      <c r="V16" s="37">
        <f>66.77*261*8</f>
        <v>139415.75999999998</v>
      </c>
      <c r="W16" s="37">
        <f>67.77*261*8</f>
        <v>141503.75999999998</v>
      </c>
      <c r="X16" s="37">
        <f>69.29*261*8</f>
        <v>144677.52000000002</v>
      </c>
      <c r="Y16" s="37">
        <f t="shared" ref="Y16:AA16" si="8">69.29*261*8</f>
        <v>144677.52000000002</v>
      </c>
      <c r="Z16" s="37">
        <f t="shared" si="8"/>
        <v>144677.52000000002</v>
      </c>
      <c r="AA16" s="37">
        <f t="shared" si="8"/>
        <v>144677.52000000002</v>
      </c>
      <c r="AB16" s="38">
        <f>70.31*261*8</f>
        <v>146807.28</v>
      </c>
    </row>
    <row r="17" spans="1:28" ht="19.899999999999999" customHeight="1" x14ac:dyDescent="0.25">
      <c r="A17" s="81" t="s">
        <v>66</v>
      </c>
      <c r="B17" s="82">
        <v>34</v>
      </c>
      <c r="C17" s="82">
        <v>261</v>
      </c>
      <c r="D17" s="83">
        <v>8</v>
      </c>
      <c r="F17" s="76">
        <v>37</v>
      </c>
      <c r="G17" s="76">
        <v>261</v>
      </c>
      <c r="H17" s="36">
        <f>55.64*261*8</f>
        <v>116176.32000000001</v>
      </c>
      <c r="I17" s="37">
        <f>56.75*261*8</f>
        <v>118494</v>
      </c>
      <c r="J17" s="37">
        <f>58.42*261*8</f>
        <v>121980.96</v>
      </c>
      <c r="K17" s="37">
        <f>59.54*261*8</f>
        <v>124319.52</v>
      </c>
      <c r="L17" s="37">
        <f>60.64*261*8</f>
        <v>126616.32000000001</v>
      </c>
      <c r="M17" s="37">
        <f>61.75*261*8</f>
        <v>128934</v>
      </c>
      <c r="N17" s="37">
        <f>63.43*261*8</f>
        <v>132441.84</v>
      </c>
      <c r="O17" s="37">
        <f>64.54*261*8</f>
        <v>134759.52000000002</v>
      </c>
      <c r="P17" s="37">
        <f>65.65*261*8</f>
        <v>137077.20000000001</v>
      </c>
      <c r="Q17" s="37">
        <f>67.33*261*8</f>
        <v>140585.04</v>
      </c>
      <c r="R17" s="37">
        <f>68.43*261*8</f>
        <v>142881.84000000003</v>
      </c>
      <c r="S17" s="37">
        <f>69.54*261*8</f>
        <v>145199.52000000002</v>
      </c>
      <c r="T17" s="37">
        <f>71.21*261*8</f>
        <v>148686.47999999998</v>
      </c>
      <c r="U17" s="37">
        <f>72.33*261*8</f>
        <v>151025.04</v>
      </c>
      <c r="V17" s="37">
        <f>73.44*261*8</f>
        <v>153342.72</v>
      </c>
      <c r="W17" s="37">
        <f>74.56*261*8</f>
        <v>155681.28</v>
      </c>
      <c r="X17" s="37">
        <f>76.22*261*8</f>
        <v>159147.35999999999</v>
      </c>
      <c r="Y17" s="37">
        <f t="shared" ref="Y17:AA17" si="9">76.22*261*8</f>
        <v>159147.35999999999</v>
      </c>
      <c r="Z17" s="37">
        <f t="shared" si="9"/>
        <v>159147.35999999999</v>
      </c>
      <c r="AA17" s="37">
        <f t="shared" si="9"/>
        <v>159147.35999999999</v>
      </c>
      <c r="AB17" s="38">
        <f>77.33*261*8</f>
        <v>161465.04</v>
      </c>
    </row>
    <row r="18" spans="1:28" ht="19.899999999999999" customHeight="1" thickBot="1" x14ac:dyDescent="0.3">
      <c r="A18" s="73" t="s">
        <v>67</v>
      </c>
      <c r="B18" s="74">
        <v>35</v>
      </c>
      <c r="C18" s="74">
        <v>261</v>
      </c>
      <c r="D18" s="75">
        <v>8</v>
      </c>
      <c r="F18" s="84">
        <v>38</v>
      </c>
      <c r="G18" s="84">
        <v>261</v>
      </c>
      <c r="H18" s="85">
        <f>63.98*261*8</f>
        <v>133590.24</v>
      </c>
      <c r="I18" s="86">
        <f>65.26*261*8</f>
        <v>136262.88</v>
      </c>
      <c r="J18" s="86">
        <f>67.18*261*8</f>
        <v>140271.84000000003</v>
      </c>
      <c r="K18" s="86">
        <f>68.46*261*8</f>
        <v>142944.47999999998</v>
      </c>
      <c r="L18" s="86">
        <f>69.74*261*8</f>
        <v>145617.12</v>
      </c>
      <c r="M18" s="86">
        <f>71.02*261*8</f>
        <v>148289.75999999998</v>
      </c>
      <c r="N18" s="86">
        <f>72.94*261*8</f>
        <v>152298.72</v>
      </c>
      <c r="O18" s="86">
        <f>74.22*261*8</f>
        <v>154971.35999999999</v>
      </c>
      <c r="P18" s="86">
        <f>75.5*261*8</f>
        <v>157644</v>
      </c>
      <c r="Q18" s="86">
        <f>77.42*261*8</f>
        <v>161652.96</v>
      </c>
      <c r="R18" s="86">
        <f>78.72*261*8</f>
        <v>164367.35999999999</v>
      </c>
      <c r="S18" s="86">
        <f>79.98*261*8</f>
        <v>166998.24000000002</v>
      </c>
      <c r="T18" s="86">
        <f>81.9*261*8</f>
        <v>171007.2</v>
      </c>
      <c r="U18" s="86">
        <f>83.18*261*8</f>
        <v>173679.84000000003</v>
      </c>
      <c r="V18" s="86">
        <f>84.45*261*8</f>
        <v>176331.6</v>
      </c>
      <c r="W18" s="86">
        <f>85.73*261*8</f>
        <v>179004.24000000002</v>
      </c>
      <c r="X18" s="86">
        <f>87.66*261*8</f>
        <v>183034.08</v>
      </c>
      <c r="Y18" s="86">
        <f t="shared" ref="Y18:AA18" si="10">87.66*261*8</f>
        <v>183034.08</v>
      </c>
      <c r="Z18" s="86">
        <f t="shared" si="10"/>
        <v>183034.08</v>
      </c>
      <c r="AA18" s="86">
        <f t="shared" si="10"/>
        <v>183034.08</v>
      </c>
      <c r="AB18" s="87">
        <f>88.93*261*8</f>
        <v>185685.84000000003</v>
      </c>
    </row>
    <row r="19" spans="1:28" ht="25.5" x14ac:dyDescent="0.2">
      <c r="A19" s="81" t="s">
        <v>68</v>
      </c>
      <c r="B19" s="82">
        <v>36</v>
      </c>
      <c r="C19" s="82">
        <v>261</v>
      </c>
      <c r="D19" s="83">
        <v>8</v>
      </c>
    </row>
    <row r="20" spans="1:28" ht="25.5" x14ac:dyDescent="0.2">
      <c r="A20" s="73" t="s">
        <v>69</v>
      </c>
      <c r="B20" s="74">
        <v>37</v>
      </c>
      <c r="C20" s="74">
        <v>261</v>
      </c>
      <c r="D20" s="75">
        <v>8</v>
      </c>
      <c r="F20" s="10"/>
      <c r="G20" s="10"/>
      <c r="H20" s="51" t="s">
        <v>70</v>
      </c>
    </row>
    <row r="21" spans="1:28" ht="34.5" customHeight="1" thickBot="1" x14ac:dyDescent="0.25">
      <c r="A21" s="88" t="s">
        <v>71</v>
      </c>
      <c r="B21" s="89">
        <v>38</v>
      </c>
      <c r="C21" s="89">
        <v>261</v>
      </c>
      <c r="D21" s="90">
        <v>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27"/>
      <c r="X21" s="27"/>
      <c r="AA21" s="10" t="s">
        <v>5</v>
      </c>
    </row>
    <row r="22" spans="1:28" ht="25.5" customHeight="1" x14ac:dyDescent="0.2"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27"/>
      <c r="X22" s="27"/>
    </row>
    <row r="23" spans="1:28" ht="19.899999999999999" customHeight="1" x14ac:dyDescent="0.2"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27"/>
      <c r="X23" s="27"/>
    </row>
    <row r="24" spans="1:28" ht="19.899999999999999" customHeight="1" x14ac:dyDescent="0.2">
      <c r="F24" s="16"/>
      <c r="G24" s="16"/>
      <c r="H24" s="16"/>
      <c r="I24" s="16"/>
      <c r="J24" s="16"/>
      <c r="K24" s="16"/>
      <c r="L24" s="16"/>
      <c r="M24" s="16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8" ht="19.899999999999999" customHeight="1" x14ac:dyDescent="0.2">
      <c r="F25" s="16"/>
      <c r="G25" s="16"/>
      <c r="H25" s="16"/>
      <c r="I25" s="16"/>
      <c r="J25" s="27"/>
      <c r="K25" s="27"/>
      <c r="L25" s="16"/>
      <c r="M25" s="16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8" ht="19.899999999999999" customHeight="1" x14ac:dyDescent="0.2">
      <c r="F26" s="16"/>
      <c r="G26" s="16"/>
      <c r="H26" s="16"/>
      <c r="I26" s="16"/>
      <c r="J26" s="27"/>
      <c r="K26" s="27"/>
      <c r="L26" s="16"/>
      <c r="M26" s="16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8" ht="19.899999999999999" customHeight="1" x14ac:dyDescent="0.2">
      <c r="F27" s="16"/>
      <c r="G27" s="16"/>
      <c r="H27" s="16"/>
      <c r="I27" s="16"/>
      <c r="J27" s="27"/>
      <c r="K27" s="27"/>
      <c r="L27" s="16"/>
      <c r="M27" s="16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8" ht="19.899999999999999" customHeight="1" x14ac:dyDescent="0.2"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8" ht="19.899999999999999" customHeight="1" x14ac:dyDescent="0.2"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8" ht="19.899999999999999" customHeight="1" x14ac:dyDescent="0.2"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8" ht="19.899999999999999" customHeight="1" x14ac:dyDescent="0.2"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8" ht="19.899999999999999" customHeight="1" x14ac:dyDescent="0.2"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6:24" ht="19.899999999999999" customHeight="1" x14ac:dyDescent="0.2"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6:24" ht="19.899999999999999" customHeight="1" x14ac:dyDescent="0.2">
      <c r="F34" s="27"/>
      <c r="G34" s="27"/>
      <c r="H34" s="27"/>
      <c r="I34" s="27"/>
      <c r="J34" s="27"/>
      <c r="K34" s="27"/>
      <c r="L34" s="27"/>
      <c r="M34" s="27"/>
    </row>
    <row r="35" spans="6:24" ht="19.899999999999999" customHeight="1" x14ac:dyDescent="0.2">
      <c r="F35" s="27"/>
      <c r="G35" s="27"/>
      <c r="H35" s="27"/>
      <c r="I35" s="27"/>
      <c r="J35" s="27"/>
      <c r="K35" s="27"/>
      <c r="L35" s="27"/>
      <c r="M35" s="27"/>
    </row>
    <row r="36" spans="6:24" ht="19.899999999999999" customHeight="1" x14ac:dyDescent="0.2">
      <c r="F36" s="27"/>
      <c r="G36" s="27"/>
      <c r="H36" s="27"/>
      <c r="I36" s="27"/>
      <c r="J36" s="27"/>
      <c r="K36" s="27"/>
      <c r="L36" s="27"/>
      <c r="M36" s="27"/>
    </row>
    <row r="37" spans="6:24" ht="19.899999999999999" customHeight="1" x14ac:dyDescent="0.2">
      <c r="F37" s="27"/>
      <c r="G37" s="27"/>
      <c r="H37" s="27"/>
      <c r="I37" s="27"/>
      <c r="J37" s="27"/>
      <c r="K37" s="27"/>
      <c r="L37" s="27"/>
      <c r="M37" s="27"/>
    </row>
    <row r="38" spans="6:24" ht="19.899999999999999" customHeight="1" x14ac:dyDescent="0.2">
      <c r="F38" s="27"/>
      <c r="G38" s="27"/>
      <c r="H38" s="27"/>
      <c r="I38" s="27"/>
      <c r="J38" s="27"/>
      <c r="K38" s="27"/>
      <c r="L38" s="27"/>
      <c r="M38" s="27"/>
    </row>
    <row r="39" spans="6:24" ht="19.899999999999999" customHeight="1" x14ac:dyDescent="0.2">
      <c r="F39" s="27"/>
      <c r="G39" s="27"/>
      <c r="H39" s="27"/>
      <c r="I39" s="27"/>
      <c r="L39" s="27"/>
      <c r="M39" s="27"/>
    </row>
    <row r="40" spans="6:24" ht="19.899999999999999" customHeight="1" x14ac:dyDescent="0.2">
      <c r="F40" s="27"/>
      <c r="G40" s="27"/>
      <c r="H40" s="27"/>
      <c r="I40" s="27"/>
      <c r="L40" s="27"/>
      <c r="M40" s="27"/>
    </row>
    <row r="41" spans="6:24" ht="19.899999999999999" customHeight="1" x14ac:dyDescent="0.2">
      <c r="F41" s="27"/>
      <c r="G41" s="27"/>
      <c r="H41" s="27"/>
      <c r="I41" s="27"/>
      <c r="L41" s="27"/>
      <c r="M41" s="27"/>
    </row>
    <row r="42" spans="6:24" ht="19.899999999999999" customHeight="1" x14ac:dyDescent="0.2">
      <c r="F42" s="10"/>
      <c r="G42" s="10"/>
    </row>
    <row r="43" spans="6:24" ht="19.899999999999999" customHeight="1" x14ac:dyDescent="0.2">
      <c r="F43" s="10"/>
      <c r="G43" s="10"/>
    </row>
    <row r="44" spans="6:24" ht="19.899999999999999" customHeight="1" x14ac:dyDescent="0.2">
      <c r="F44" s="10"/>
      <c r="G44" s="10"/>
    </row>
    <row r="45" spans="6:24" x14ac:dyDescent="0.2">
      <c r="F45" s="10"/>
      <c r="G45" s="10"/>
    </row>
    <row r="46" spans="6:24" x14ac:dyDescent="0.2">
      <c r="F46" s="10"/>
      <c r="G46" s="10"/>
    </row>
  </sheetData>
  <mergeCells count="1">
    <mergeCell ref="F2:AB2"/>
  </mergeCells>
  <printOptions horizontalCentered="1"/>
  <pageMargins left="0.7" right="0.7" top="0.75" bottom="0.75" header="0.3" footer="0.3"/>
  <pageSetup scale="35" orientation="landscape" r:id="rId1"/>
  <headerFooter alignWithMargins="0">
    <oddFooter>&amp;L&amp;"Arial,Bold"&amp;F&amp;C&amp;"Arial,Bold"&amp;D &amp;R&amp;"Arial,Bold"Appendix D-1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1CDC4F5F33004288EF8CE272E1C0A7" ma:contentTypeVersion="15" ma:contentTypeDescription="Create a new document." ma:contentTypeScope="" ma:versionID="f9a19d212104748f867d430efe6fbe6a">
  <xsd:schema xmlns:xsd="http://www.w3.org/2001/XMLSchema" xmlns:xs="http://www.w3.org/2001/XMLSchema" xmlns:p="http://schemas.microsoft.com/office/2006/metadata/properties" xmlns:ns1="http://schemas.microsoft.com/sharepoint/v3" xmlns:ns3="2add34c5-7df0-420e-8b71-301032458f2d" xmlns:ns4="e74e6d64-9086-4c1f-b0bd-07cd5d3d228d" targetNamespace="http://schemas.microsoft.com/office/2006/metadata/properties" ma:root="true" ma:fieldsID="f6271467579294427fd94b13a4cd077e" ns1:_="" ns3:_="" ns4:_="">
    <xsd:import namespace="http://schemas.microsoft.com/sharepoint/v3"/>
    <xsd:import namespace="2add34c5-7df0-420e-8b71-301032458f2d"/>
    <xsd:import namespace="e74e6d64-9086-4c1f-b0bd-07cd5d3d228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d34c5-7df0-420e-8b71-301032458f2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e6d64-9086-4c1f-b0bd-07cd5d3d22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87D502-1955-4ECB-A9B1-FB293232E3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dd34c5-7df0-420e-8b71-301032458f2d"/>
    <ds:schemaRef ds:uri="e74e6d64-9086-4c1f-b0bd-07cd5d3d22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EFB59E-CF08-4D9D-A717-1A5B5C1EA0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C8DA60-FC1C-43E3-9320-448EF5B10BB9}">
  <ds:schemaRefs>
    <ds:schemaRef ds:uri="http://schemas.microsoft.com/office/2006/metadata/properties"/>
    <ds:schemaRef ds:uri="http://schemas.microsoft.com/sharepoint/v3"/>
    <ds:schemaRef ds:uri="http://purl.org/dc/terms/"/>
    <ds:schemaRef ds:uri="2add34c5-7df0-420e-8b71-301032458f2d"/>
    <ds:schemaRef ds:uri="e74e6d64-9086-4c1f-b0bd-07cd5d3d228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District Support Staff D-1 </vt:lpstr>
      <vt:lpstr>District Support Staff D-2 </vt:lpstr>
      <vt:lpstr>'District Support Staff D-1 '!Print_Area</vt:lpstr>
      <vt:lpstr>'District Support Staff D-2 '!Print_Area</vt:lpstr>
    </vt:vector>
  </TitlesOfParts>
  <Company>Oak Ridge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Dunning</dc:creator>
  <cp:lastModifiedBy>Samuel Smith</cp:lastModifiedBy>
  <dcterms:created xsi:type="dcterms:W3CDTF">2023-06-07T10:56:53Z</dcterms:created>
  <dcterms:modified xsi:type="dcterms:W3CDTF">2023-06-09T13:56:03Z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0x010100081CDC4F5F33004288EF8CE272E1C0A7</vt:lpwstr>
  </property>
</Properties>
</file>